
<file path=[Content_Types].xml><?xml version="1.0" encoding="utf-8"?>
<Types xmlns="http://schemas.openxmlformats.org/package/2006/content-types">
  <Override PartName="/xl/worksheets/sheet15.xml" ContentType="application/vnd.openxmlformats-officedocument.spreadsheetml.worksheet+xml"/>
  <Override PartName="/customXml/itemProps3.xml" ContentType="application/vnd.openxmlformats-officedocument.customXmlProperties+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drawings/drawing1.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xl/sharedStrings.xml" ContentType="application/vnd.openxmlformats-officedocument.spreadsheetml.sharedStrings+xml"/>
  <Override PartName="/xl/drawings/drawing10.xml" ContentType="application/vnd.openxmlformats-officedocument.drawing+xml"/>
  <Override PartName="/xl/worksheets/sheet17.xml" ContentType="application/vnd.openxmlformats-officedocument.spreadsheetml.worksheet+xml"/>
  <Override PartName="/xl/worksheets/sheet18.xml" ContentType="application/vnd.openxmlformats-officedocument.spreadsheetml.worksheet+xml"/>
  <Override PartName="/xl/metadata.xml" ContentType="application/vnd.openxmlformats-officedocument.spreadsheetml.sheetMetadata+xml"/>
  <Override PartName="/docProps/core.xml" ContentType="application/vnd.openxmlformats-package.core-properties+xml"/>
  <Override PartName="/xl/worksheets/sheet16.xml" ContentType="application/vnd.openxmlformats-officedocument.spreadsheetml.worksheet+xml"/>
  <Default Extension="bin" ContentType="application/vnd.openxmlformats-officedocument.spreadsheetml.printerSettings"/>
  <Default Extension="png" ContentType="image/png"/>
  <Override PartName="/xl/drawings/drawing9.xml" ContentType="application/vnd.openxmlformats-officedocument.drawing+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codeName="ThisWorkbook"/>
  <bookViews>
    <workbookView xWindow="28680" yWindow="-4620" windowWidth="23256" windowHeight="13176" tabRatio="877"/>
  </bookViews>
  <sheets>
    <sheet name="Cover" sheetId="16" r:id="rId1"/>
    <sheet name="District Contacts" sheetId="24" r:id="rId2"/>
    <sheet name="Page 1" sheetId="2" r:id="rId3"/>
    <sheet name="Page 2" sheetId="3" r:id="rId4"/>
    <sheet name="Page 3" sheetId="29" r:id="rId5"/>
    <sheet name="Page 4" sheetId="5" r:id="rId6"/>
    <sheet name="Page 5" sheetId="23" r:id="rId7"/>
    <sheet name="Page 6" sheetId="7" r:id="rId8"/>
    <sheet name="Page 7" sheetId="8" r:id="rId9"/>
    <sheet name="Page 8" sheetId="19" r:id="rId10"/>
    <sheet name="Supplement" sheetId="17" r:id="rId11"/>
    <sheet name="Summary Page 1" sheetId="13" r:id="rId12"/>
    <sheet name="Summary Page 2" sheetId="14" r:id="rId13"/>
    <sheet name="Truth in Tax" sheetId="15" r:id="rId14"/>
    <sheet name="Data Entry" sheetId="27" r:id="rId15"/>
    <sheet name="Calculations" sheetId="28" r:id="rId16"/>
    <sheet name="BSA55" sheetId="30" r:id="rId17"/>
    <sheet name="Instructions" sheetId="22" r:id="rId18"/>
  </sheets>
  <externalReferences>
    <externalReference r:id="rId19"/>
    <externalReference r:id="rId20"/>
  </externalReferences>
  <definedNames>
    <definedName name="_xlnm._FilterDatabase" localSheetId="17" hidden="1">Instructions!$D$1:$E$156</definedName>
    <definedName name="_Key1" hidden="1">'Page 6'!$O$8</definedName>
    <definedName name="_Order1" hidden="1">255</definedName>
    <definedName name="_PAV2">'Data Entry'!$L$79</definedName>
    <definedName name="_QL912">'BSA55'!$G$163</definedName>
    <definedName name="_Sort" hidden="1">'Page 6'!$O$8:$O$34</definedName>
    <definedName name="AccommRCL05">'Data Entry'!$L$131</definedName>
    <definedName name="AccommRCL10">'Data Entry'!$L$130</definedName>
    <definedName name="AccommTransCheck">'Data Entry'!$C$127</definedName>
    <definedName name="ActAuditExpend">'Data Entry'!$C$55</definedName>
    <definedName name="ActDisabilityRM">'Data Entry'!$L$64</definedName>
    <definedName name="ActivTripLvlFactor">'BSA55'!$E$84</definedName>
    <definedName name="AdjacentWays">Instructions!$C$34</definedName>
    <definedName name="AdjBaseSuppLvl">'BSA55'!$H$67</definedName>
    <definedName name="AdjFYTRCL">'BSA55'!$C$102</definedName>
    <definedName name="AdjTNTBaseLimit">'Truth in Tax'!$I$7</definedName>
    <definedName name="AdjWaysLevy">'Page 5'!$E$28</definedName>
    <definedName name="AllFundAuditBudg6330">'Page 2'!$O$9</definedName>
    <definedName name="AmtOUBudgSSA">'Truth in Tax'!$I$21</definedName>
    <definedName name="AnnualExpforBusPass">'Data Entry'!$L$63</definedName>
    <definedName name="AnnualExpforBusToken">'Data Entry'!$L$62</definedName>
    <definedName name="AOIFTFundFactor">'BSA55'!$F$47</definedName>
    <definedName name="AOIFTGrBAddOnWgtdADM">'BSA55'!$H$35</definedName>
    <definedName name="AOIFTRegEdWgtdADM">'BSA55'!$H$12</definedName>
    <definedName name="AOIFTStudCnt912CY">'Data Entry'!$I$20</definedName>
    <definedName name="AOIFTStudCntDD.ED.MIID.SLD.SLI.OHI">'Data Entry'!$H$38</definedName>
    <definedName name="AOIFTStudCntEDP">'Data Entry'!$H$39</definedName>
    <definedName name="AOIFTStudCntELL">'Data Entry'!$H$30</definedName>
    <definedName name="AOIFTStudCntFRPL">'Data Entry'!$H$43</definedName>
    <definedName name="AOIFTStudCntG">'Data Entry'!$H$42</definedName>
    <definedName name="AOIFTStudCntHI">'Data Entry'!$H$31</definedName>
    <definedName name="AOIFTStudCntK3">'Data Entry'!$H$29</definedName>
    <definedName name="AOIFTStudCntK3R">'Data Entry'!$H$28</definedName>
    <definedName name="AOIFTStudCntK8CY">'Data Entry'!$H$20</definedName>
    <definedName name="AOIFTStudCntMDR.AR.SIDR">'Data Entry'!$H$32</definedName>
    <definedName name="AOIFTStudCntMDSC.ASC.SIDSC">'Data Entry'!$H$33</definedName>
    <definedName name="AOIFTStudCntMDSSI">'Data Entry'!$H$34</definedName>
    <definedName name="AOIFTStudCntMOID">'Data Entry'!$H$40</definedName>
    <definedName name="AOIFTStudCntOIR">'Data Entry'!$H$35</definedName>
    <definedName name="AOIFTStudCntOISC">'Data Entry'!$H$36</definedName>
    <definedName name="AOIFTStudCntP.SD">'Data Entry'!$H$37</definedName>
    <definedName name="AOIFTStudCntPSDCY">'Data Entry'!$G$20</definedName>
    <definedName name="AOIFTStudCntVI">'Data Entry'!$H$41</definedName>
    <definedName name="AOIPTFundFactor">'BSA55'!$H$47</definedName>
    <definedName name="AOIPTGrBAddOnWgtdADM">'BSA55'!$I$35</definedName>
    <definedName name="AOIPTRegEdWgtdADM">'BSA55'!$I$12</definedName>
    <definedName name="AOIPTStudCnt912CY">'Data Entry'!$I$21</definedName>
    <definedName name="AOIPTStudCntDD.ED.MIID.SLD.SLI.OHI">'Data Entry'!$I$38</definedName>
    <definedName name="AOIPTStudCntEDP">'Data Entry'!$I$39</definedName>
    <definedName name="AOIPTStudCntELL">'Data Entry'!$I$30</definedName>
    <definedName name="AOIPTStudCntFRPL">'Data Entry'!$I$43</definedName>
    <definedName name="AOIPTStudCntG">'Data Entry'!$I$42</definedName>
    <definedName name="AOIPTStudCntHI">'Data Entry'!$I$31</definedName>
    <definedName name="AOIPTStudCntK3">'Data Entry'!$I$29</definedName>
    <definedName name="AOIPTStudCntK3R">'Data Entry'!$I$28</definedName>
    <definedName name="AOIPTStudCntK8CY">'Data Entry'!$H$21</definedName>
    <definedName name="AOIPTStudCntMDR.AR.SIDR">'Data Entry'!$I$32</definedName>
    <definedName name="AOIPTStudCntMDSC.ASC.SIDSC">'Data Entry'!$I$33</definedName>
    <definedName name="AOIPTStudCntMDSSI">'Data Entry'!$I$34</definedName>
    <definedName name="AOIPTStudCntMOID">'Data Entry'!$I$40</definedName>
    <definedName name="AOIPTStudCntOIR">'Data Entry'!$I$35</definedName>
    <definedName name="AOIPTStudCntOISC">'Data Entry'!$I$36</definedName>
    <definedName name="AOIPTStudCntP.SD">'Data Entry'!$I$37</definedName>
    <definedName name="AOIPTStudCntPSDCY">'Data Entry'!$G$21</definedName>
    <definedName name="AOIPTStudCntVI">'Data Entry'!$I$41</definedName>
    <definedName name="ApprDRMiles">'Data Entry'!$L$60</definedName>
    <definedName name="AuditServices">Instructions!$C$21</definedName>
    <definedName name="AvgTeacherSalaries">Instructions!$C$9</definedName>
    <definedName name="BaseLevelAmount">'Data Entry'!$J$6</definedName>
    <definedName name="BSA55BLA">'BSA55'!$H$52</definedName>
    <definedName name="BSA55General">Instructions!$C$154</definedName>
    <definedName name="BSA55P4ActivityTripFactors">Instructions!$C$156</definedName>
    <definedName name="BSA55P4AuditServiceExpense">Instructions!$C$155</definedName>
    <definedName name="BSA55TEI">'BSA55'!$C$54</definedName>
    <definedName name="BUDG75Adj">'Data Entry'!$L$84</definedName>
    <definedName name="BudgetYearADM">'Summary Page 1'!$D$12</definedName>
    <definedName name="BudgetYearSalary">Cover!$S$31</definedName>
    <definedName name="BudgetYearSalarySumm">'Summary Page 1'!$I$10</definedName>
    <definedName name="BudgIncrDesegExp">'Page 7'!$J$34</definedName>
    <definedName name="BudgIncrDropPrevProg">'Page 7'!$J$36</definedName>
    <definedName name="BudgIncrJCTEVEC">'Page 7'!$J$39</definedName>
    <definedName name="BusTokens">'Data Entry'!$C$62</definedName>
    <definedName name="CalcGeneral">Instructions!$C$153</definedName>
    <definedName name="CapTransportAdj912">'Data Entry'!$L$71</definedName>
    <definedName name="CapTransportAdjK8">'Data Entry'!$L$70</definedName>
    <definedName name="CapTransportAdjPSD">'Data Entry'!$L$69</definedName>
    <definedName name="Checkbox200Days">'Data Entry'!$C$51</definedName>
    <definedName name="ConsolUnifTransCosts">'Data Entry'!$L$75</definedName>
    <definedName name="ContractFTEAdmin">'Summary Page 2'!$D$38</definedName>
    <definedName name="ContractFTECertOther">'Summary Page 2'!$D$40</definedName>
    <definedName name="ContractFTECertSubtotal">'Summary Page 2'!$D$41</definedName>
    <definedName name="ContractFTEClassOther">'Summary Page 2'!$D$45</definedName>
    <definedName name="ContractFTEClassSubtotal">'Summary Page 2'!$D$46</definedName>
    <definedName name="ContractFTEManagers">'Summary Page 2'!$D$43</definedName>
    <definedName name="ContractFTESpecEdStaff">'Summary Page 2'!$D$51</definedName>
    <definedName name="ContractFTESpecEdTeacher">'Summary Page 2'!$D$50</definedName>
    <definedName name="ContractFTETeachers">'Summary Page 2'!$D$39</definedName>
    <definedName name="ContractFTETeachersAids">'Summary Page 2'!$D$44</definedName>
    <definedName name="ContractFTETotal">'Summary Page 2'!$D$47</definedName>
    <definedName name="cover" localSheetId="0">Cover!$A$1:$Q$41</definedName>
    <definedName name="CoverGen">Instructions!$C$2</definedName>
    <definedName name="CSFActualCurrFY" localSheetId="4">'Page 3'!$D$32</definedName>
    <definedName name="CSFAdjustment">'Page 3'!$D$36</definedName>
    <definedName name="CSFAllocBudgFY" localSheetId="4">'Page 3'!$D$35</definedName>
    <definedName name="CSFBLBudgFY" localSheetId="4">'Page 3'!$D$38</definedName>
    <definedName name="CSFBLBudgFYSumm">'Summary Page 1'!$D$23</definedName>
    <definedName name="CSFBLCurrFY" localSheetId="4">'Page 3'!$D$31</definedName>
    <definedName name="CSFExpBudgFYSumm">'Summary Page 1'!$C$23</definedName>
    <definedName name="CSFPYInterestEarned">'Page 3'!$D$34</definedName>
    <definedName name="CSFUnexpendBudgBal">'Page 3'!$D$33</definedName>
    <definedName name="CTD">Cover!$S$1</definedName>
    <definedName name="CYIAMOTax">'Data Entry'!$L$99</definedName>
    <definedName name="CYIAMOTRCL">'Data Entry'!$L$98</definedName>
    <definedName name="CYIARev">'Data Entry'!$L$96</definedName>
    <definedName name="CYIARevBondDS">'Data Entry'!$L$97</definedName>
    <definedName name="CYTRCL">'BSA55'!$E$103</definedName>
    <definedName name="DailyRteMilesPerElgStud">'BSA55'!$E$79</definedName>
    <definedName name="DataEntryGeneral">Instructions!$C$103</definedName>
    <definedName name="DataEntryOtherBSLBRCLAdjl1">Instructions!$C$126</definedName>
    <definedName name="DataEntryOtherBSLBRCLAdjl3">Instructions!$C$127</definedName>
    <definedName name="DataEntryOtherBSLBRCLAdjl4">Instructions!$C$129</definedName>
    <definedName name="DataEntryOtherBSLBRCLAdjl5">Instructions!$C$130</definedName>
    <definedName name="DataEntryOtherBSLBRCLAdjl6">Instructions!$C$132</definedName>
    <definedName name="DataEntryOtherBSLBRCLAdjl7">Instructions!$C$133</definedName>
    <definedName name="DataEntryOtherInfo10f">Instructions!$C$144</definedName>
    <definedName name="DataEntryOtherInfol1">Instructions!$C$137</definedName>
    <definedName name="DataEntryOtherInfol12">Instructions!$C$145</definedName>
    <definedName name="DataEntryOtherInfol14">Instructions!$C$146</definedName>
    <definedName name="DataEntryOtherInfol15">Instructions!$C$147</definedName>
    <definedName name="DataEntryOtherInfol17">Instructions!$C$148</definedName>
    <definedName name="DataEntryOtherInfol18">Instructions!$C$149</definedName>
    <definedName name="DataEntryOtherInfol1Continued">Instructions!$C$138</definedName>
    <definedName name="DataEntryOtherInfol2">Instructions!$C$139</definedName>
    <definedName name="DataEntryOtherInfol3">Instructions!$C$140</definedName>
    <definedName name="DataEntryOtherInfol5">Instructions!$C$141</definedName>
    <definedName name="DataEntryOtherInfol8">Instructions!$C$142</definedName>
    <definedName name="DataEntryOtherInfol9">Instructions!$C$143</definedName>
    <definedName name="DataEntryTransl1">Instructions!$C$134</definedName>
    <definedName name="DataEntryTransl3">Instructions!$C$135</definedName>
    <definedName name="DataEntryTransl5">Instructions!$C$136</definedName>
    <definedName name="DataEntryType01Infol1">Instructions!$C$151</definedName>
    <definedName name="DataEntryType01Infol2">Instructions!$C$152</definedName>
    <definedName name="DataEntryUSCl1">Instructions!$C$105</definedName>
    <definedName name="DataEntryUSCl2">Instructions!$C$106</definedName>
    <definedName name="DataEntryUSCl345">Instructions!$C$107</definedName>
    <definedName name="DataEntryUSCSCAl10">Instructions!$C$112</definedName>
    <definedName name="DataEntryUSCSCAl11">Instructions!$C$113</definedName>
    <definedName name="DataEntryUSCSCAl12">Instructions!$C$114</definedName>
    <definedName name="DataEntryUSCSCAl13">Instructions!$C$115</definedName>
    <definedName name="DataEntryUSCSCAl14">Instructions!$C$116</definedName>
    <definedName name="DataEntryUSCSCAl15">Instructions!$C$117</definedName>
    <definedName name="DataEntryUSCSCAl16">Instructions!$C$118</definedName>
    <definedName name="DataEntryUSCSCAl17">Instructions!$C$119</definedName>
    <definedName name="DataEntryUSCSCAl18">Instructions!$C$120</definedName>
    <definedName name="DataEntryUSCSCAl19">Instructions!$C$121</definedName>
    <definedName name="DataEntryUSCSCAl20">Instructions!$C$122</definedName>
    <definedName name="DataEntryUSCSCAl21">Instructions!$C$123</definedName>
    <definedName name="DataEntryUSCSCAl23">Instructions!$C$125</definedName>
    <definedName name="DataEntryUSCSCAl7">Instructions!$C$109</definedName>
    <definedName name="DataEntryUSCSCAl720">Instructions!$C$108</definedName>
    <definedName name="DataEntryUSCSCAl9">Instructions!$C$111</definedName>
    <definedName name="DDPJCTEOriginalBudget">'Truth in Tax'!$G$18</definedName>
    <definedName name="DecrTransMOtoEWS">'Page 7'!$J$47</definedName>
    <definedName name="DistrictContact">Instructions!$C$10</definedName>
    <definedName name="DistrictName">Cover!$C$1</definedName>
    <definedName name="DSL">'BSA55'!$J$79</definedName>
    <definedName name="DSLRCL912">'BSA55'!$L$143</definedName>
    <definedName name="DSLRCLPSD8">'BSA55'!$L$142</definedName>
    <definedName name="DSLRCLTotal">'BSA55'!$L$144</definedName>
    <definedName name="EligibleStudTrans">'Data Entry'!$L$61</definedName>
    <definedName name="EmployeeFTEAdmin">'Summary Page 2'!$E$38</definedName>
    <definedName name="EmployeeFTECertOther">'Summary Page 2'!$E$40</definedName>
    <definedName name="EmployeeFTECertSubtotal">'Summary Page 2'!$E$41</definedName>
    <definedName name="EmployeeFTEClassOther">'Summary Page 2'!$E$45</definedName>
    <definedName name="EmployeeFTEClassSubtotal">'Summary Page 2'!$E$46</definedName>
    <definedName name="EmployeeFTEManagers">'Summary Page 2'!$E$43</definedName>
    <definedName name="EmployeeFTESpecEdStaff">'Summary Page 2'!$E$51</definedName>
    <definedName name="EmployeeFTESpecEdTeacher">'Summary Page 2'!$E$50</definedName>
    <definedName name="EmployeeFTETeachers">'Summary Page 2'!$E$39</definedName>
    <definedName name="EmployeeFTETeachersAides">'Summary Page 2'!$E$44</definedName>
    <definedName name="EmployeeFTETotal">'Summary Page 2'!$E$47</definedName>
    <definedName name="EqualAssist912">'BSA55'!$G$164</definedName>
    <definedName name="EqualAssistPSD8">'BSA55'!$E$164</definedName>
    <definedName name="EqualBase912">'BSA55'!$G$162</definedName>
    <definedName name="EqualBasePSD8">'BSA55'!$E$162</definedName>
    <definedName name="EstDisabilityRM">'Data Entry'!$L$65</definedName>
    <definedName name="EstimatedFTECertified">'Page 2'!$G$28</definedName>
    <definedName name="EstTaxRateBudgFY">Cover!$Q$13</definedName>
    <definedName name="EstTaxRateBudgFYSumm">'Summary Page 1'!$D$14</definedName>
    <definedName name="ExcessTNTLimit">'Truth in Tax'!$I$25</definedName>
    <definedName name="ExpOUOrigBudg">'Truth in Tax'!$I$18</definedName>
    <definedName name="F001AuditBudg6350">'Page 2'!$O$8</definedName>
    <definedName name="F001P100F1000">'Page 1'!$L$7</definedName>
    <definedName name="F001P100F1000O6100">'Page 1'!$F$8</definedName>
    <definedName name="F001P100F1000O6200">'Page 1'!$G$8</definedName>
    <definedName name="F001P100F1000O630064006500">'Page 1'!$H$8</definedName>
    <definedName name="F001P100F1000O6600">'Page 1'!$I$8</definedName>
    <definedName name="F001P100F1000O6800">'Page 1'!$J$8</definedName>
    <definedName name="F001P100F1000OthBudgFY">'Summary Page 1'!$F$32</definedName>
    <definedName name="F001P100F1000Personnel">'Page 1'!$E$8</definedName>
    <definedName name="F001P100F1000SBBudgFY">'Summary Page 1'!$D$32</definedName>
    <definedName name="F001P100F1000TotBudgFY">'Summary Page 1'!$H$32</definedName>
    <definedName name="F001P100F2100">'Page 1'!$L$9</definedName>
    <definedName name="F001P100F2100O6100">'Page 1'!$F$10</definedName>
    <definedName name="F001P100F2100O6200">'Page 1'!$G$10</definedName>
    <definedName name="F001P100F2100O630064006500">'Page 1'!$H$10</definedName>
    <definedName name="F001P100F2100O6600">'Page 1'!$I$10</definedName>
    <definedName name="F001P100F2100O6800">'Page 1'!$J$10</definedName>
    <definedName name="F001P100F2100OthBudgFY">'Summary Page 1'!$F$34</definedName>
    <definedName name="F001P100F2100Personnel">'Page 1'!$E$10</definedName>
    <definedName name="F001P100F2100SBBudgFY">'Summary Page 1'!$D$34</definedName>
    <definedName name="F001P100F2100TotBudgFY">'Summary Page 1'!$H$34</definedName>
    <definedName name="F001P100F2200">'Page 1'!$L$11</definedName>
    <definedName name="F001P100F2200O6100">'Page 1'!$F$11</definedName>
    <definedName name="F001P100F2200O6200">'Page 1'!$G$11</definedName>
    <definedName name="F001P100F2200O630064006500">'Page 1'!$H$11</definedName>
    <definedName name="F001P100F2200O6600">'Page 1'!$I$11</definedName>
    <definedName name="F001P100F2200O6800">'Page 1'!$J$11</definedName>
    <definedName name="F001P100F2200OthBudgFY">'Summary Page 1'!$F$36</definedName>
    <definedName name="F001P100F2200Personnel">'Page 1'!$E$11</definedName>
    <definedName name="F001P100F2200SBBudgFY">'Summary Page 1'!$D$36</definedName>
    <definedName name="F001P100F2200TotBudgFY">'Summary Page 1'!$H$36</definedName>
    <definedName name="F001P100F2300">'Page 1'!$L$12</definedName>
    <definedName name="F001P100F230024002500OthBudgFY">'Summary Page 1'!$F$37</definedName>
    <definedName name="F001P100F230024002500SBBudgFY">'Summary Page 1'!$D$37</definedName>
    <definedName name="F001P100F230024002500TotBudgFY">'Summary Page 1'!$H$37</definedName>
    <definedName name="F001P100F2300O6100">'Page 1'!$F$12</definedName>
    <definedName name="F001P100F2300O6200">'Page 1'!$G$12</definedName>
    <definedName name="F001P100F2300O630064006500">'Page 1'!$H$12</definedName>
    <definedName name="F001P100F2300O6600">'Page 1'!$I$12</definedName>
    <definedName name="F001P100F2300O6800">'Page 1'!$J$12</definedName>
    <definedName name="F001P100F2300Personnel">'Page 1'!$E$12</definedName>
    <definedName name="F001P100F2400">'Page 1'!$L$13</definedName>
    <definedName name="F001P100F2400O6100">'Page 1'!$F$13</definedName>
    <definedName name="F001P100F2400O6200">'Page 1'!$G$13</definedName>
    <definedName name="F001P100F2400O630064006500">'Page 1'!$H$13</definedName>
    <definedName name="F001P100F2400O6600">'Page 1'!$I$13</definedName>
    <definedName name="F001P100F2400O6800">'Page 1'!$J$13</definedName>
    <definedName name="F001P100F2400Personnel">'Page 1'!$E$13</definedName>
    <definedName name="F001P100F2500">'Page 1'!$L$14</definedName>
    <definedName name="F001P100F2500O6100">'Page 1'!$F$14</definedName>
    <definedName name="F001P100F2500O6200">'Page 1'!$G$14</definedName>
    <definedName name="F001P100F2500O630064006500">'Page 1'!$H$14</definedName>
    <definedName name="F001P100F2500O6600">'Page 1'!$I$14</definedName>
    <definedName name="F001P100F2500O6800">'Page 1'!$J$14</definedName>
    <definedName name="F001P100F2500Personnel">'Page 1'!$E$14</definedName>
    <definedName name="F001P100F2600">'Page 1'!$L$15</definedName>
    <definedName name="F001P100F2600O6100">'Page 1'!$F$15</definedName>
    <definedName name="F001P100F2600O6200">'Page 1'!$G$15</definedName>
    <definedName name="F001P100F2600O630064006500">'Page 1'!$H$15</definedName>
    <definedName name="F001P100F2600O6600">'Page 1'!$I$15</definedName>
    <definedName name="F001P100F2600O6800">'Page 1'!$J$15</definedName>
    <definedName name="F001P100F2600OthBudgFY">'Summary Page 1'!$F$38</definedName>
    <definedName name="F001P100F2600Personnel">'Page 1'!$E$15</definedName>
    <definedName name="F001P100F2600SBBudgFY">'Summary Page 1'!$D$38</definedName>
    <definedName name="F001P100F2600TotBudgFY">'Summary Page 1'!$H$38</definedName>
    <definedName name="F001P100F2900">'Page 1'!$L$16</definedName>
    <definedName name="F001P100F2900O6100">'Page 1'!$F$16</definedName>
    <definedName name="F001P100F2900O6200">'Page 1'!$G$16</definedName>
    <definedName name="F001P100F2900O630064006500">'Page 1'!$H$16</definedName>
    <definedName name="F001P100F2900O6600">'Page 1'!$I$16</definedName>
    <definedName name="F001P100F2900O6800">'Page 1'!$J$16</definedName>
    <definedName name="F001P100F2900OthBudgFY">'Summary Page 1'!$F$39</definedName>
    <definedName name="F001P100F2900Personnel">'Page 1'!$E$16</definedName>
    <definedName name="F001P100F2900SBBudgFY">'Summary Page 1'!$D$39</definedName>
    <definedName name="F001P100F2900TotBudgFY">'Summary Page 1'!$H$39</definedName>
    <definedName name="F001P100F3000">'Page 1'!$L$17</definedName>
    <definedName name="F001P100F3000O6100">'Page 1'!$F$17</definedName>
    <definedName name="F001P100F3000O6200">'Page 1'!$G$17</definedName>
    <definedName name="F001P100F3000O630064006500">'Page 1'!$H$17</definedName>
    <definedName name="F001P100F3000O6600">'Page 1'!$I$17</definedName>
    <definedName name="F001P100F3000O6800">'Page 1'!$J$17</definedName>
    <definedName name="F001P100F3000OthBudgFY">'Summary Page 1'!$F$40</definedName>
    <definedName name="F001P100F3000Personnel">'Page 1'!$E$17</definedName>
    <definedName name="F001P100F3000SBBudgFY">'Summary Page 1'!$D$40</definedName>
    <definedName name="F001P100F3000TotBudgFY">'Summary Page 1'!$H$40</definedName>
    <definedName name="F001P200F1000">'Page 1'!$L$23</definedName>
    <definedName name="F001P200F1000O6100">'Page 1'!$F$24</definedName>
    <definedName name="F001P200F1000O6200">'Page 1'!$G$24</definedName>
    <definedName name="F001P200F1000O630064006500">'Page 1'!$H$24</definedName>
    <definedName name="F001P200F1000O6600">'Page 1'!$I$24</definedName>
    <definedName name="F001P200F1000O6800">'Page 1'!$J$24</definedName>
    <definedName name="F001P200F1000OthBudgFY">'Summary Page 1'!$F$45</definedName>
    <definedName name="F001P200F1000Personnel">'Page 1'!$E$24</definedName>
    <definedName name="F001P200F1000SBBudgFY">'Summary Page 1'!$D$45</definedName>
    <definedName name="F001P200F1000TotBudgFY">'Summary Page 1'!$H$45</definedName>
    <definedName name="F001P200F2100">'Page 1'!$L$25</definedName>
    <definedName name="F001P200F2100O6100">'Page 1'!$F$26</definedName>
    <definedName name="F001P200F2100O6200">'Page 1'!$G$26</definedName>
    <definedName name="F001P200F2100O630064006500">'Page 1'!$H$26</definedName>
    <definedName name="F001P200F2100O6600">'Page 1'!$I$26</definedName>
    <definedName name="F001P200F2100O6800">'Page 1'!$J$26</definedName>
    <definedName name="F001P200F2100OthBudgFY">'Summary Page 1'!$F$47</definedName>
    <definedName name="F001P200F2100Personnel">'Page 1'!$E$26</definedName>
    <definedName name="F001P200F2100SBBudgFY">'Summary Page 1'!$D$47</definedName>
    <definedName name="F001P200F2200">'Page 1'!$L$27</definedName>
    <definedName name="F001P200F2200O6100">'Page 1'!$F$27</definedName>
    <definedName name="F001P200F2200O6200">'Page 1'!$G$27</definedName>
    <definedName name="F001P200F2200O630064006500">'Page 1'!$H$27</definedName>
    <definedName name="F001P200F2200O6600">'Page 1'!$I$27</definedName>
    <definedName name="F001P200F2200O6800">'Page 1'!$J$27</definedName>
    <definedName name="F001P200F2200OthBudgFY">'Summary Page 1'!$F$49</definedName>
    <definedName name="F001P200F2200Personnel">'Page 1'!$E$27</definedName>
    <definedName name="F001P200F2200SBBudgFY">'Summary Page 1'!$D$49</definedName>
    <definedName name="F001P200F2200TotBudgFy">'Summary Page 1'!$H$49</definedName>
    <definedName name="F001P200F2300">'Page 1'!$L$28</definedName>
    <definedName name="F001P200F230024002500OthBudgFY">'Summary Page 1'!$F$50</definedName>
    <definedName name="F001P200F230024002500SBBudgFY">'Summary Page 1'!$D$50</definedName>
    <definedName name="F001P200F230024002500TotBudgFY">'Summary Page 1'!$H$50</definedName>
    <definedName name="F001P200F2300O6100">'Page 1'!$F$28</definedName>
    <definedName name="F001P200F2300O6200">'Page 1'!$G$28</definedName>
    <definedName name="F001P200F2300O630064006500">'Page 1'!$H$28</definedName>
    <definedName name="F001P200F2300O6600">'Page 1'!$I$28</definedName>
    <definedName name="F001P200F2300O6800">'Page 1'!$J$28</definedName>
    <definedName name="F001P200F2300Personnel">'Page 1'!$E$28</definedName>
    <definedName name="F001P200F2400">'Page 1'!$L$29</definedName>
    <definedName name="F001P200F2400O6100">'Page 1'!$F$29</definedName>
    <definedName name="F001P200F2400O6200">'Page 1'!$G$29</definedName>
    <definedName name="F001P200F2400O630064006500">'Page 1'!$H$29</definedName>
    <definedName name="F001P200F2400O6600">'Page 1'!$I$29</definedName>
    <definedName name="F001P200F2400O6800">'Page 1'!$J$29</definedName>
    <definedName name="F001P200F2400Personnel">'Page 1'!$E$29</definedName>
    <definedName name="F001P200F2500">'Page 1'!$L$30</definedName>
    <definedName name="F001P200F2500O6100">'Page 1'!$F$30</definedName>
    <definedName name="F001P200F2500O6200">'Page 1'!$G$30</definedName>
    <definedName name="F001P200F2500O630064006500">'Page 1'!$H$30</definedName>
    <definedName name="F001P200F2500O6600">'Page 1'!$I$30</definedName>
    <definedName name="F001P200F2500O6800">'Page 1'!$J$30</definedName>
    <definedName name="F001P200F2500Personnel">'Page 1'!$E$30</definedName>
    <definedName name="F001P200F2600">'Page 1'!$L$31</definedName>
    <definedName name="F001P200F2600O6100">'Page 1'!$F$31</definedName>
    <definedName name="F001P200F2600O6200">'Page 1'!$G$31</definedName>
    <definedName name="F001P200F2600O630064006500">'Page 1'!$H$31</definedName>
    <definedName name="F001P200F2600O6600">'Page 1'!$I$31</definedName>
    <definedName name="F001P200F2600O6800">'Page 1'!$J$31</definedName>
    <definedName name="F001P200F2600OthBudgFY">'Summary Page 1'!$F$51</definedName>
    <definedName name="F001P200F2600Personnel">'Page 1'!$E$31</definedName>
    <definedName name="F001P200F2600SBBudgFY">'Summary Page 1'!$D$51</definedName>
    <definedName name="F001P200F2600TotBudgFY">'Summary Page 1'!$H$51</definedName>
    <definedName name="F001P200F2900">'Page 1'!$L$32</definedName>
    <definedName name="F001P200F2900O6100">'Page 1'!$F$32</definedName>
    <definedName name="F001P200F2900O6200">'Page 1'!$G$32</definedName>
    <definedName name="F001P200F2900O630064006500">'Page 1'!$H$32</definedName>
    <definedName name="F001P200F2900O6600">'Page 1'!$I$32</definedName>
    <definedName name="F001P200F2900O6800">'Page 1'!$J$32</definedName>
    <definedName name="F001P200F2900OthBudgFY">'Summary Page 1'!$F$52</definedName>
    <definedName name="F001P200F2900Personnel">'Page 1'!$E$32</definedName>
    <definedName name="F001P200F2900SBBudgFY">'Summary Page 1'!$D$52</definedName>
    <definedName name="F001P200F2900TotBudgFY">'Summary Page 1'!$H$52</definedName>
    <definedName name="F001P200F3000">'Page 1'!$L$33</definedName>
    <definedName name="F001P200F3000O6100">'Page 1'!$F$33</definedName>
    <definedName name="F001P200F3000O6200">'Page 1'!$G$33</definedName>
    <definedName name="F001P200F3000O630064006500">'Page 1'!$H$33</definedName>
    <definedName name="F001P200F3000O6600">'Page 1'!$I$33</definedName>
    <definedName name="F001P200F3000O6800">'Page 1'!$J$33</definedName>
    <definedName name="F001P200F3000OthBudgFY">'Summary Page 1'!$F$53</definedName>
    <definedName name="F001P200F3000Personnel">'Page 1'!$E$33</definedName>
    <definedName name="F001P200F3000SBBudgFY">'Summary Page 1'!$D$53</definedName>
    <definedName name="F001P200F3000TotBudgFY">'Summary Page 1'!$H$53</definedName>
    <definedName name="F001P200F510TotBudgFY">'Summary Page 1'!$H$56</definedName>
    <definedName name="F001P200PYDisabilityTot">'Page 2'!$F$7</definedName>
    <definedName name="F001P200Subtotal">'Page 2'!$G$7</definedName>
    <definedName name="F001P200TotBudgFY">'Page 1'!$L$34</definedName>
    <definedName name="F001P400">'Page 1'!$L$35</definedName>
    <definedName name="F001P400O6100">'Page 1'!$F$35</definedName>
    <definedName name="F001P400O6200">'Page 1'!$G$35</definedName>
    <definedName name="F001P400O630064006500">'Page 1'!$H$35</definedName>
    <definedName name="F001P400O6600">'Page 1'!$I$35</definedName>
    <definedName name="F001P400O6800">'Page 1'!$J$35</definedName>
    <definedName name="F001P400OthBudgFy">'Summary Page 1'!$F$55</definedName>
    <definedName name="F001P400Personnel">'Page 1'!$E$35</definedName>
    <definedName name="F001P400SBBudgFY">'Summary Page 1'!$D$55</definedName>
    <definedName name="F001P400TotBudgFY">'Summary Page 1'!$H$55</definedName>
    <definedName name="F001P510">'Page 1'!$L$36</definedName>
    <definedName name="F001P510O6100">'Page 1'!$F$36</definedName>
    <definedName name="F001P510O6200">'Page 1'!$G$36</definedName>
    <definedName name="F001P510O630064006500">'Page 1'!$H$36</definedName>
    <definedName name="F001P510O6600">'Page 1'!$I$36</definedName>
    <definedName name="F001P510O6800">'Page 1'!$J$36</definedName>
    <definedName name="F001P510OthBudgFY">'Summary Page 1'!$F$56</definedName>
    <definedName name="F001P510Personnel">'Page 1'!$E$36</definedName>
    <definedName name="F001P510SBBudgFY">'Summary Page 1'!$D$56</definedName>
    <definedName name="F001P530">'Page 1'!$L$38</definedName>
    <definedName name="F001P530O6100">'Page 1'!$F$38</definedName>
    <definedName name="F001P530O6200">'Page 1'!$G$38</definedName>
    <definedName name="F001P530O630064006500">'Page 1'!$H$38</definedName>
    <definedName name="F001P530O6600">'Page 1'!$I$38</definedName>
    <definedName name="F001P530O6800">'Page 1'!$J$38</definedName>
    <definedName name="F001P530OthBudgFY">'Summary Page 1'!$F$57</definedName>
    <definedName name="F001P530Personnel">'Page 1'!$E$38</definedName>
    <definedName name="F001P530SBBudgFY">'Summary Page 1'!$D$57</definedName>
    <definedName name="F001P530TotBudgFY">'Summary Page 1'!$H$57</definedName>
    <definedName name="F001P540">'Page 1'!$L$39</definedName>
    <definedName name="F001P540O6100">'Page 1'!$F$39</definedName>
    <definedName name="F001P540O6200">'Page 1'!$G$39</definedName>
    <definedName name="F001P540O630064006500">'Page 1'!$H$39</definedName>
    <definedName name="F001P540O6600">'Page 1'!$I$39</definedName>
    <definedName name="F001P540O6800">'Page 1'!$J$39</definedName>
    <definedName name="F001P540OthBudgFY">'Summary Page 1'!$F$58</definedName>
    <definedName name="F001P540Personnel">'Page 1'!$E$39</definedName>
    <definedName name="F001P540SBBudgFY">'Summary Page 1'!$D$58</definedName>
    <definedName name="F001P540TotBudgFY">'Summary Page 1'!$H$58</definedName>
    <definedName name="F001P550">'Page 1'!$L$41</definedName>
    <definedName name="F001P550O6100">'Page 1'!$F$41</definedName>
    <definedName name="F001P550O6200">'Page 1'!$G$41</definedName>
    <definedName name="F001P550O630064006500">'Page 1'!$H$41</definedName>
    <definedName name="F001P550O6600">'Page 1'!$I$41</definedName>
    <definedName name="F001P550O6800">'Page 1'!$J$41</definedName>
    <definedName name="F001P550OthBudgFY">'Summary Page 1'!$F$60</definedName>
    <definedName name="F001P550Personnel">'Page 1'!$E$41</definedName>
    <definedName name="F001P550SBBudgFY">'Summary Page 1'!$D$60</definedName>
    <definedName name="F001P550TotBudgFY">'Summary Page 1'!$H$60</definedName>
    <definedName name="F001P610">'Page 1'!$L$18</definedName>
    <definedName name="F001P610O6100">'Page 1'!$F$18</definedName>
    <definedName name="F001P610O6200">'Page 1'!$G$18</definedName>
    <definedName name="F001P610O630064006500">'Page 1'!$H$18</definedName>
    <definedName name="F001P610O6600">'Page 1'!$I$18</definedName>
    <definedName name="F001P610O6800">'Page 1'!$J$18</definedName>
    <definedName name="F001P610OthBudgFY">'Summary Page 1'!$F$41</definedName>
    <definedName name="F001P610Personnel">'Page 1'!$E$18</definedName>
    <definedName name="F001P610SBBudgFY">'Summary Page 1'!$D$41</definedName>
    <definedName name="F001P610TotBudgFY">'Summary Page 1'!$H$41</definedName>
    <definedName name="F001P620">'Page 1'!$L$19</definedName>
    <definedName name="F001P620O6100">'Page 1'!$F$19</definedName>
    <definedName name="F001P620O6200">'Page 1'!$G$19</definedName>
    <definedName name="F001P620O630064006500">'Page 1'!$H$19</definedName>
    <definedName name="F001P620O6600">'Page 1'!$I$19</definedName>
    <definedName name="F001P620O6800">'Page 1'!$J$19</definedName>
    <definedName name="F001P620OthBudgFY">'Summary Page 1'!$F$42</definedName>
    <definedName name="F001P620Personnel">'Page 1'!$E$19</definedName>
    <definedName name="F001P620SBBudgFY">'Summary Page 1'!$D$42</definedName>
    <definedName name="F001P620TotBudgFY">'Summary Page 1'!$H$42</definedName>
    <definedName name="F001P630">'Page 1'!$L$20</definedName>
    <definedName name="F001P630700800900OthBudgFY">'Summary Page 1'!$F$43</definedName>
    <definedName name="F001P630700800900SBBudgFY">'Summary Page 1'!$D$43</definedName>
    <definedName name="F001P630700800900TotBudgFY">'Summary Page 1'!$H$43</definedName>
    <definedName name="F001P630O6100">'Page 1'!$F$20</definedName>
    <definedName name="F001P630O6200">'Page 1'!$G$20</definedName>
    <definedName name="F001P630O630064006500">'Page 1'!$H$20</definedName>
    <definedName name="F001P630O6600">'Page 1'!$I$20</definedName>
    <definedName name="F001P630O6800">'Page 1'!$J$20</definedName>
    <definedName name="F001P630Personnel">'Page 1'!$E$20</definedName>
    <definedName name="F001P700800900">'Page 1'!$L$21</definedName>
    <definedName name="F001P700800900O6100">'Page 1'!$F$21</definedName>
    <definedName name="F001P700800900O6200">'Page 1'!$G$21</definedName>
    <definedName name="F001P700800900O630064006500">'Page 1'!$H$21</definedName>
    <definedName name="F001P700800900O6600">'Page 1'!$I$21</definedName>
    <definedName name="F001P700800900O6800">'Page 1'!$J$21</definedName>
    <definedName name="F001P700800900Personnel">'Page 1'!$E$21</definedName>
    <definedName name="F001TotalExp">'Page 1'!$L$42</definedName>
    <definedName name="F001TotalExpSumm">'Summary Page 1'!$C$22</definedName>
    <definedName name="F001TotExpCurrFY">'Page 1'!$K$42</definedName>
    <definedName name="F010F1000">'Page 3'!$K$6</definedName>
    <definedName name="F010F2100">'Page 3'!$K$7</definedName>
    <definedName name="F010F2200">'Page 3'!$K$8</definedName>
    <definedName name="F010F2310">'Page 3'!$K$9</definedName>
    <definedName name="F010F2510">'Page 3'!$K$10</definedName>
    <definedName name="F010F3300">'Page 3'!$K$11</definedName>
    <definedName name="F010F4000">'Page 3'!$K$12</definedName>
    <definedName name="F010F5000">'Page 3'!$K$13</definedName>
    <definedName name="F010TotalExp">'Page 3'!$K$14</definedName>
    <definedName name="F010TotalExpPY">'Page 3'!$J$14</definedName>
    <definedName name="F020ClassSizeRedBudgFY">'Page 6'!$H$41</definedName>
    <definedName name="F020DropPrevProgBudgFY">'Page 6'!$H$42</definedName>
    <definedName name="F020InstrImprProgBudgFY">'Page 6'!$H$43</definedName>
    <definedName name="F020TeachCompIncrBudgFY">'Page 6'!$H$40</definedName>
    <definedName name="F020TotBudgFY">'Page 6'!$H$44</definedName>
    <definedName name="F020TotCurrFY">'Page 6'!$F$44</definedName>
    <definedName name="F050BudgFY">'Page 6'!$T$5</definedName>
    <definedName name="F050CurrFY">'Page 6'!$S$5</definedName>
    <definedName name="F071BudgFY">Supplement!$M$18</definedName>
    <definedName name="F071CurrFY">Supplement!$L$18</definedName>
    <definedName name="F071F1000">Supplement!$M$7</definedName>
    <definedName name="F071F1000Personnel">Supplement!$E$8</definedName>
    <definedName name="F071F2100">Supplement!$M$9</definedName>
    <definedName name="F071F2100Personnel">Supplement!$E$10</definedName>
    <definedName name="F071F2200">Supplement!$M$11</definedName>
    <definedName name="F071F2200Personnel">Supplement!$E$11</definedName>
    <definedName name="F071F2300">Supplement!$M$12</definedName>
    <definedName name="F071F2300Personnel">Supplement!$E$12</definedName>
    <definedName name="F071F2400">Supplement!$M$13</definedName>
    <definedName name="F071F2400Personnel">Supplement!$E$13</definedName>
    <definedName name="F071F2500">Supplement!$M$14</definedName>
    <definedName name="F071F2500Personnel">Supplement!$E$14</definedName>
    <definedName name="F071F2600">Supplement!$M$15</definedName>
    <definedName name="F071F2600Personnel">Supplement!$E$15</definedName>
    <definedName name="F071F2700">Supplement!$M$16</definedName>
    <definedName name="F071F2700Personnel">Supplement!$E$16</definedName>
    <definedName name="F071F2900">Supplement!$M$17</definedName>
    <definedName name="F071F2900Personnel">Supplement!$E$17</definedName>
    <definedName name="F072BudgFY">Supplement!$M$30</definedName>
    <definedName name="F072CurrFY">Supplement!$L$30</definedName>
    <definedName name="F072F1000">Supplement!$M$19</definedName>
    <definedName name="F072F1000Personnel">Supplement!$E$20</definedName>
    <definedName name="F072F2100">Supplement!$M$21</definedName>
    <definedName name="F072F2100Personnel">Supplement!$E$22</definedName>
    <definedName name="F072F2200">Supplement!$M$23</definedName>
    <definedName name="F072F2200Personnel">Supplement!$E$23</definedName>
    <definedName name="F072F2300">Supplement!$M$24</definedName>
    <definedName name="F072F2300Personnel">Supplement!$E$24</definedName>
    <definedName name="F072F2400">Supplement!$M$25</definedName>
    <definedName name="F072F2400Personnel">Supplement!$E$25</definedName>
    <definedName name="F072F2500">Supplement!$M$26</definedName>
    <definedName name="F072F2500Personnel">Supplement!$E$26</definedName>
    <definedName name="F072F2600">Supplement!$M$27</definedName>
    <definedName name="F072F2600Personnel">Supplement!$E$27</definedName>
    <definedName name="F072F2700">Supplement!$M$28</definedName>
    <definedName name="F072F2700Personnel">Supplement!$E$28</definedName>
    <definedName name="F072F2900">Supplement!$M$29</definedName>
    <definedName name="F072F2900Personnel">Supplement!$E$29</definedName>
    <definedName name="F100130BudgFY">'Page 6'!$J$7</definedName>
    <definedName name="F100130Personnel">'Page 6'!$G$7</definedName>
    <definedName name="F100P200F2100TotBudgFY">'Summary Page 1'!$H$47</definedName>
    <definedName name="F140150BudgFY">'Page 6'!$J$8</definedName>
    <definedName name="F140150Personnel">'Page 6'!$G$8</definedName>
    <definedName name="F160BudgFY">'Page 6'!$J$9</definedName>
    <definedName name="F160Personnel">'Page 6'!$G$9</definedName>
    <definedName name="F170180BudgFY">'Page 6'!$J$10</definedName>
    <definedName name="F170180Personnel">'Page 6'!$G$10</definedName>
    <definedName name="F190BudgFY">'Page 6'!$J$11</definedName>
    <definedName name="F190Personnel">'Page 6'!$G$11</definedName>
    <definedName name="F200BudgFY">'Page 6'!$J$12</definedName>
    <definedName name="F200Personnel">'Page 6'!$G$12</definedName>
    <definedName name="F210BudgFY">'Page 6'!$J$13</definedName>
    <definedName name="F210Personnel">'Page 6'!$G$13</definedName>
    <definedName name="F220BudgFY">'Page 6'!$J$14</definedName>
    <definedName name="F220Personnel">'Page 6'!$G$14</definedName>
    <definedName name="F230BudgFY">'Page 6'!$J$15</definedName>
    <definedName name="F230Personnel">'Page 6'!$G$15</definedName>
    <definedName name="F240BudgFY">'Page 6'!$J$16</definedName>
    <definedName name="F240Personnel">'Page 6'!$G$16</definedName>
    <definedName name="F250BudgFY">'Page 6'!$J$17</definedName>
    <definedName name="F250Personnel">'Page 6'!$G$17</definedName>
    <definedName name="F260270BudgFY">'Page 6'!$J$18</definedName>
    <definedName name="F260270Personnel">'Page 6'!$G$18</definedName>
    <definedName name="F280BudgFY">'Page 6'!$J$19</definedName>
    <definedName name="F280Personnel">'Page 6'!$G$19</definedName>
    <definedName name="F290BudgFY">'Page 6'!$J$20</definedName>
    <definedName name="F290Personnel">'Page 6'!$G$20</definedName>
    <definedName name="F300399OtherBudgFY">'Page 6'!$J$23</definedName>
    <definedName name="F300399OtherPersonnel">'Page 6'!$G$23</definedName>
    <definedName name="F374BudgFY">'Page 6'!$J$21</definedName>
    <definedName name="F374Personnel">'Page 6'!$G$21</definedName>
    <definedName name="F378BudgFY">'Page 6'!$J$22</definedName>
    <definedName name="F378Personnel">'Page 6'!$G$22</definedName>
    <definedName name="F400BudgFY">'Page 6'!$J$26</definedName>
    <definedName name="F400Personnel">'Page 6'!$G$26</definedName>
    <definedName name="F410BudgFY">'Page 6'!$J$27</definedName>
    <definedName name="F410Personnel">'Page 6'!$G$27</definedName>
    <definedName name="F420BudgFY">'Page 6'!$J$28</definedName>
    <definedName name="F420Personnel">'Page 6'!$G$28</definedName>
    <definedName name="F425BudgFY">'Page 6'!$J$29</definedName>
    <definedName name="F425Personnel">'Page 6'!$G$29</definedName>
    <definedName name="F430BudgFY">'Page 6'!$J$30</definedName>
    <definedName name="F430Personnel">'Page 6'!$G$30</definedName>
    <definedName name="F435BudgFY">'Page 6'!$J$31</definedName>
    <definedName name="F435Personnel">'Page 6'!$G$31</definedName>
    <definedName name="F450BudgFY">'Page 6'!$J$32</definedName>
    <definedName name="F450Personnel">'Page 6'!$G$32</definedName>
    <definedName name="F456BudgFY">'Page 6'!$J$33</definedName>
    <definedName name="F456Personnel">'Page 6'!$G$33</definedName>
    <definedName name="F460BudgFY">'Page 6'!$J$34</definedName>
    <definedName name="F460Personnel">'Page 6'!$G$34</definedName>
    <definedName name="F465499BudgFY">'Page 6'!$J$35</definedName>
    <definedName name="F465499Personnel">'Page 6'!$G$35</definedName>
    <definedName name="F500BudgFY">'Page 6'!$T$8</definedName>
    <definedName name="F500CurrFY">'Page 6'!$S$8</definedName>
    <definedName name="F510BudgFY">'Page 6'!$T$9</definedName>
    <definedName name="F510CurrFY">'Page 6'!$S$9</definedName>
    <definedName name="F515BudgFY">'Page 6'!$T$10</definedName>
    <definedName name="F515CurrFY">'Page 6'!$S$10</definedName>
    <definedName name="F520BudgFY">'Page 6'!$T$11</definedName>
    <definedName name="F520CurrFY">'Page 6'!$S$11</definedName>
    <definedName name="F525BudgFY">'Page 6'!$T$12</definedName>
    <definedName name="F525CurrFY">'Page 6'!$S$12</definedName>
    <definedName name="F526BudgFY">'Page 6'!$T$13</definedName>
    <definedName name="F526CurrFY">'Page 6'!$S$13</definedName>
    <definedName name="F530BudgFY">'Page 6'!$T$14</definedName>
    <definedName name="F530CurrFY">'Page 6'!$S$14</definedName>
    <definedName name="F535BudgFY">'Page 6'!$T$15</definedName>
    <definedName name="F535CurrFY">'Page 6'!$S$15</definedName>
    <definedName name="F540BudgFY">'Page 6'!$T$16</definedName>
    <definedName name="F540CurrFY">'Page 6'!$S$16</definedName>
    <definedName name="F545BudgFY">'Page 6'!$T$17</definedName>
    <definedName name="F545CurrFY">'Page 6'!$S$17</definedName>
    <definedName name="F550BudgFY">'Page 6'!$T$18</definedName>
    <definedName name="F550CurrFY">'Page 6'!$S$18</definedName>
    <definedName name="F555BudgFY">'Page 6'!$T$19</definedName>
    <definedName name="F555CurrFY">'Page 6'!$S$19</definedName>
    <definedName name="F565BudgFY">'Page 6'!$T$20</definedName>
    <definedName name="F565CurrFY">'Page 6'!$S$20</definedName>
    <definedName name="F570BudgFY">'Page 6'!$T$21</definedName>
    <definedName name="F570CurrFY">'Page 6'!$S$21</definedName>
    <definedName name="F575BudgFY">'Page 6'!$T$22</definedName>
    <definedName name="F575CurrFY">'Page 6'!$S$22</definedName>
    <definedName name="F580BudgFY">'Page 6'!$T$23</definedName>
    <definedName name="F580CurrFY">'Page 6'!$S$23</definedName>
    <definedName name="F585BudgFY">'Page 6'!$T$24</definedName>
    <definedName name="F585CurrFY">'Page 6'!$S$24</definedName>
    <definedName name="F590BudgFY">'Page 6'!$T$25</definedName>
    <definedName name="F590CurrFY">'Page 6'!$S$25</definedName>
    <definedName name="F595BudgFY">'Page 6'!$T$26</definedName>
    <definedName name="F595CurrFY">'Page 6'!$S$26</definedName>
    <definedName name="F596BudgFY">'Page 6'!$T$27</definedName>
    <definedName name="F596CurrFY">'Page 6'!$S$27</definedName>
    <definedName name="F597BudgFY">'Page 6'!$T$28</definedName>
    <definedName name="F597CurrFY">'Page 6'!$S$28</definedName>
    <definedName name="F610BudgFYNewConstruction">'Page 5'!$E$23</definedName>
    <definedName name="F610BudgFYO6150">'Page 5'!$E$10</definedName>
    <definedName name="F610BudgFYO6200">'Page 5'!$E$11</definedName>
    <definedName name="F610BudgFYO6450">'Page 5'!$E$12</definedName>
    <definedName name="F610BudgFYO6710">'Page 5'!$E$13</definedName>
    <definedName name="F610BudgFYO6720">'Page 5'!$E$14</definedName>
    <definedName name="F610BudgFYO6731">'Page 5'!$E$15</definedName>
    <definedName name="F610BudgFYO6734">'Page 5'!$E$16</definedName>
    <definedName name="F610BudgFYO6737">'Page 5'!$E$17</definedName>
    <definedName name="F610BudgFYO6831">'Page 5'!$E$18</definedName>
    <definedName name="F610BudgFYO6841">'Page 5'!$E$19</definedName>
    <definedName name="F610BudgFYOther">'Page 5'!$E$24</definedName>
    <definedName name="F610BudgFYRenovation">'Page 5'!$E$22</definedName>
    <definedName name="F610F1000">'Page 4'!$L$9</definedName>
    <definedName name="F610F21002200">'Page 4'!$L$11</definedName>
    <definedName name="F610F2300240025002900">'Page 4'!$L$13</definedName>
    <definedName name="F610F2600">'Page 4'!$L$14</definedName>
    <definedName name="F610F2700">'Page 4'!$L$15</definedName>
    <definedName name="F610F3000">'Page 4'!$L$16</definedName>
    <definedName name="F610F4000">'Page 4'!$L$17</definedName>
    <definedName name="F610F5000">'Page 4'!$L$18</definedName>
    <definedName name="F610O6731">'Page 4'!$B$33</definedName>
    <definedName name="F610O6734">'Page 4'!$B$34</definedName>
    <definedName name="F610O6737">'Page 4'!$B$35</definedName>
    <definedName name="F610Override">'Page 4'!$L$8</definedName>
    <definedName name="F610TotalBudgFY">'Page 4'!$L$19</definedName>
    <definedName name="F610TotalCurrFY">'Page 4'!$K$19</definedName>
    <definedName name="F620BudgFYNewConstruction">'Page 5'!$K$23</definedName>
    <definedName name="F620BudgFYO6150">'Page 5'!$K$10</definedName>
    <definedName name="F620BudgFYO6200">'Page 5'!$K$11</definedName>
    <definedName name="F620BudgFYO6450">'Page 5'!$K$12</definedName>
    <definedName name="F620BudgFYO6710">'Page 5'!$K$13</definedName>
    <definedName name="F620BudgFYO6720">'Page 5'!$K$14</definedName>
    <definedName name="F620BudgFYO6731">'Page 5'!$K$15</definedName>
    <definedName name="F620BudgFYO6734">'Page 5'!$K$16</definedName>
    <definedName name="F620BudgFYO6737">'Page 5'!$K$17</definedName>
    <definedName name="F620BudgFYO6831">'Page 5'!$K$18</definedName>
    <definedName name="F620BudgFYO6841">'Page 5'!$K$19</definedName>
    <definedName name="F620BudgFYOther">'Page 5'!$K$24</definedName>
    <definedName name="F620BudgFYRenovation">'Page 5'!$K$22</definedName>
    <definedName name="F620TotalBudgFY">'Page 5'!$K$8</definedName>
    <definedName name="F620TotalCurrFY">'Page 5'!$J$8</definedName>
    <definedName name="F630BudgFYNewConstruction">'Page 5'!$G$23</definedName>
    <definedName name="F630BudgFYO6150">'Page 5'!$G$10</definedName>
    <definedName name="F630BudgFYO6200">'Page 5'!$G$11</definedName>
    <definedName name="F630BudgFYO6450">'Page 5'!$G$12</definedName>
    <definedName name="F630BudgFYO6710">'Page 5'!$G$13</definedName>
    <definedName name="F630BudgFYO6720">'Page 5'!$G$14</definedName>
    <definedName name="F630BudgFYO6731">'Page 5'!$G$15</definedName>
    <definedName name="F630BudgFYO6734">'Page 5'!$G$16</definedName>
    <definedName name="F630BudgFYO6737">'Page 5'!$G$17</definedName>
    <definedName name="F630BudgFYO6831">'Page 5'!$G$18</definedName>
    <definedName name="F630BudgFYO6841">'Page 5'!$G$19</definedName>
    <definedName name="F630BudgFYOther">'Page 5'!$G$24</definedName>
    <definedName name="F630BudgFYRenovation">'Page 5'!$G$22</definedName>
    <definedName name="F630TotalBudgFY">'Page 5'!$G$8</definedName>
    <definedName name="F630TotalCurrFY">'Page 5'!$F$8</definedName>
    <definedName name="F639BudgFY">'Page 6'!$T$29</definedName>
    <definedName name="F639CurrFY">'Page 6'!$S$29</definedName>
    <definedName name="F650BudgFY">'Page 6'!$T$30</definedName>
    <definedName name="F650CurrFY">'Page 6'!$S$30</definedName>
    <definedName name="F660BudgFY">'Page 6'!$T$31</definedName>
    <definedName name="F660CurrFY">'Page 6'!$S$31</definedName>
    <definedName name="F665BudgFY">'Page 6'!$T$32</definedName>
    <definedName name="F665CurrFY">'Page 6'!$S$32</definedName>
    <definedName name="F686BudgFY">'Page 6'!$T$33</definedName>
    <definedName name="F686CurrFY">'Page 6'!$S$33</definedName>
    <definedName name="F691BudgFY">'Page 6'!$T$34</definedName>
    <definedName name="F691CurrFY">'Page 6'!$S$34</definedName>
    <definedName name="F695BudgFYNewConstruction">'Page 5'!$I$23</definedName>
    <definedName name="F695BudgFYO6150">'Page 5'!$I$10</definedName>
    <definedName name="F695BudgFYO6200">'Page 5'!$I$11</definedName>
    <definedName name="F695BudgFYO6450">'Page 5'!$I$12</definedName>
    <definedName name="F695BudgFYO6710">'Page 5'!$I$13</definedName>
    <definedName name="F695BudgFYO6720">'Page 5'!$I$14</definedName>
    <definedName name="F695BudgFYO6731">'Page 5'!$I$15</definedName>
    <definedName name="F695BudgFYO6734">'Page 5'!$I$16</definedName>
    <definedName name="F695BudgFYO6737">'Page 5'!$I$17</definedName>
    <definedName name="F695BudgFYO6831">'Page 5'!$I$18</definedName>
    <definedName name="F695BudgFYO6841">'Page 5'!$I$19</definedName>
    <definedName name="F695BudgFYOther">'Page 5'!$I$24</definedName>
    <definedName name="F695TotalBudgFY">'Page 5'!$I$8</definedName>
    <definedName name="F695TotalCurrFY">'Page 5'!$H$8</definedName>
    <definedName name="F700BudgFY">'Page 6'!$T$35</definedName>
    <definedName name="F700CurrFY">'Page 6'!$S$35</definedName>
    <definedName name="F720BudgFY">'Page 6'!$T$36</definedName>
    <definedName name="F720CurrFY">'Page 6'!$S$36</definedName>
    <definedName name="F850BudgFY">'Page 6'!$T$37</definedName>
    <definedName name="F850CurrFY">'Page 6'!$S$37</definedName>
    <definedName name="F9__OPEBBudgFY">'Page 6'!$T$42</definedName>
    <definedName name="F9__OPEBCurrFY">'Page 6'!$S$42</definedName>
    <definedName name="F9__OtherBudgFY">'Page 6'!$T$43</definedName>
    <definedName name="F9__OtherCurrFY">'Page 6'!$S$43</definedName>
    <definedName name="F9__SelfInsBudgFY">'Page 6'!$T$40</definedName>
    <definedName name="F9__SelfInsCurrFY">'Page 6'!$S$40</definedName>
    <definedName name="F955BudgFY">'Page 6'!$T$41</definedName>
    <definedName name="F955CurrFY">'Page 6'!$S$41</definedName>
    <definedName name="FiscalYear" localSheetId="0">Cover!$E$3</definedName>
    <definedName name="FY2018Salary">Cover!$S$40</definedName>
    <definedName name="GBLBudgFY">'Page 7'!$J$55</definedName>
    <definedName name="GBLBudgFYSumm">'Summary Page 1'!$D$22</definedName>
    <definedName name="GPLETV">'Data Entry'!$L$81</definedName>
    <definedName name="HSCountDORtoDOA">'Data Entry'!$L$124</definedName>
    <definedName name="IEPTransportCosts">'Page 2'!$G$19</definedName>
    <definedName name="Incr200Days">'Data Entry'!$E$49</definedName>
    <definedName name="IncreaseTuitionLossAdj">Calculations!$R$215</definedName>
    <definedName name="IncrTeachComp">'Data Entry'!$E$51</definedName>
    <definedName name="IncrTransEWStoMO">'Page 7'!$J$48</definedName>
    <definedName name="JTEDBudgFY">'Page 2'!$G$14</definedName>
    <definedName name="JTEDCurrFY">'Page 2'!$F$14</definedName>
    <definedName name="K3RSLW">'BSA55'!$F$19</definedName>
    <definedName name="K3SLW">'BSA55'!$F$18</definedName>
    <definedName name="LessDSLorRCL912">'BSA55'!$I$143</definedName>
    <definedName name="MOFoodService">Instructions!$C$22</definedName>
    <definedName name="NonAOIGrBAddOnWgtdADM">'BSA55'!$G$35</definedName>
    <definedName name="NonAOIRegEdWgtdADM">'BSA55'!$G$12</definedName>
    <definedName name="NonAOIStudCnt912CY">'Data Entry'!$I$19</definedName>
    <definedName name="NonAOIStudCntDD.ED.MIID.SLD.SLI.OHI">'Data Entry'!$G$38</definedName>
    <definedName name="NonAOIStudCntEDP">'Data Entry'!$G$39</definedName>
    <definedName name="NonAOIStudCntELL">'Data Entry'!$G$30</definedName>
    <definedName name="NonAOIStudCntFRPL">'Data Entry'!$G$43</definedName>
    <definedName name="NonAOIStudCntG">'Data Entry'!$G$42</definedName>
    <definedName name="NonAOIStudCntHI">'Data Entry'!$G$31</definedName>
    <definedName name="NonAOIStudCntK3">'Data Entry'!$G$29</definedName>
    <definedName name="NonAOIStudCntK3R">'Data Entry'!$G$28</definedName>
    <definedName name="NonAOIStudCntK8CY">'Data Entry'!$H$19</definedName>
    <definedName name="NonAOIStudCntMDR.AR.SIDR">'Data Entry'!$G$32</definedName>
    <definedName name="NonAOIStudCntMDRARSIDR">'Data Entry'!$G$32</definedName>
    <definedName name="NonAOIStudCntMDSC.ASC.SIDSC">'Data Entry'!$G$33</definedName>
    <definedName name="NonAOIStudCntMDSCASCSIDSC">'Data Entry'!$G$33</definedName>
    <definedName name="NonAOIStudCntMDSDASCSIDSC">'Data Entry'!$G$32</definedName>
    <definedName name="NonAOIStudCntMDSSI">'Data Entry'!$G$34</definedName>
    <definedName name="NonAOIStudCntMOID">'Data Entry'!$G$40</definedName>
    <definedName name="NonAOIStudCntOIR">'Data Entry'!$G$35</definedName>
    <definedName name="NonAOIStudCntOISC">'Data Entry'!$G$36</definedName>
    <definedName name="NonAOIStudCntP.SD">'Data Entry'!$G$37</definedName>
    <definedName name="NonAOIStudCntPSD">'Data Entry'!$G$37</definedName>
    <definedName name="NonAOIStudCntPSDCY">'Data Entry'!$G$19</definedName>
    <definedName name="NonAOIStudCntVI">'Data Entry'!$G$41</definedName>
    <definedName name="NonFedAuditExp">'Data Entry'!$L$55</definedName>
    <definedName name="OtherFundsBudgFY">'Page 6'!$T$38</definedName>
    <definedName name="OtherFundsCurrFY">'Page 6'!$S$38</definedName>
    <definedName name="Page1">'Page 1'!$A$1:$N$45</definedName>
    <definedName name="Page1l27">Instructions!$C$14</definedName>
    <definedName name="Page1l28">Instructions!$C$15</definedName>
    <definedName name="Page1l29">Instructions!$C$16</definedName>
    <definedName name="Page1l4">Instructions!$C$11</definedName>
    <definedName name="Page1l9">Instructions!$C$13</definedName>
    <definedName name="Page2">'Page 2'!$A$3:$T$48</definedName>
    <definedName name="Page2l45">Instructions!$C$19</definedName>
    <definedName name="Page2n1">Instructions!$C$18</definedName>
    <definedName name="Page2n2">Instructions!$C$20</definedName>
    <definedName name="Page2n4">Instructions!$C$22</definedName>
    <definedName name="Page3">'Page 4'!$A$1:$P$40</definedName>
    <definedName name="Page3Gen">Instructions!$C$23</definedName>
    <definedName name="Page3Line11">Instructions!$C$26</definedName>
    <definedName name="Page3Line13">Instructions!$C$27</definedName>
    <definedName name="Page3Line14">Instructions!$C$28</definedName>
    <definedName name="Page3Line15">Instructions!$C$30</definedName>
    <definedName name="Page3Line4">Instructions!$C$24</definedName>
    <definedName name="Page3Line9">Instructions!$C$25</definedName>
    <definedName name="Page4f5">Instructions!$C$32</definedName>
    <definedName name="Page4L10">Instructions!$C$31</definedName>
    <definedName name="Page5">'Page 6'!$A$1:$U$40</definedName>
    <definedName name="Page5SelectExp">Instructions!$C$33</definedName>
    <definedName name="Page6">'Page 7'!$A$1:$M$70</definedName>
    <definedName name="Page6F456">Instructions!$C$37</definedName>
    <definedName name="Page6l16">Instructions!$C$35</definedName>
    <definedName name="Page6l17">Instructions!$C$36</definedName>
    <definedName name="Page6l2">Instructions!$C$46</definedName>
    <definedName name="Page6l24">Instructions!$C$41</definedName>
    <definedName name="Page6l28">Instructions!$C$38</definedName>
    <definedName name="Page6l29">Instructions!$C$42</definedName>
    <definedName name="Page6l2and3">Instructions!$C$39</definedName>
    <definedName name="Page6l30">Instructions!$C$43</definedName>
    <definedName name="Page6l33">Instructions!$C$44</definedName>
    <definedName name="Page6l34">Instructions!$C$45</definedName>
    <definedName name="Page6l4">Instructions!$C$40</definedName>
    <definedName name="Page7" localSheetId="9">'Page 8'!$A$1:$K$36</definedName>
    <definedName name="Page7Gen">Instructions!$C$47</definedName>
    <definedName name="Page7l1">Instructions!$C$48</definedName>
    <definedName name="Page7l10">Instructions!$C$76</definedName>
    <definedName name="Page7l11">Instructions!$C$79</definedName>
    <definedName name="Page7l2athroughb">Instructions!$C$49</definedName>
    <definedName name="Page7l2b">Instructions!$C$50</definedName>
    <definedName name="Page7l3">Instructions!$C$51</definedName>
    <definedName name="Page7l3a">Instructions!$C$53</definedName>
    <definedName name="Page7l3b">Instructions!$C$55</definedName>
    <definedName name="Page7l3c">Instructions!$C$56</definedName>
    <definedName name="Page7l4">Instructions!$C$58</definedName>
    <definedName name="Page7l5">Instructions!$C$60</definedName>
    <definedName name="Page7l5d">Instructions!$C$61</definedName>
    <definedName name="Page7l6">Instructions!$C$63</definedName>
    <definedName name="Page7l7">Instructions!$C$65</definedName>
    <definedName name="Page7l8a">Instructions!$C$66</definedName>
    <definedName name="Page7l8b">Instructions!$C$67</definedName>
    <definedName name="Page7l8c">Instructions!$C$68</definedName>
    <definedName name="Page7l8d">Instructions!$C$69</definedName>
    <definedName name="Page7l8e">Instructions!$C$70</definedName>
    <definedName name="Page7l8f">Instructions!$C$71</definedName>
    <definedName name="Page7l8g">Instructions!$C$72</definedName>
    <definedName name="Page7l8h">Instructions!$C$74</definedName>
    <definedName name="Page7l9">Instructions!$C$75</definedName>
    <definedName name="Page8lA10">Instructions!$C$88</definedName>
    <definedName name="Page8lA2">Instructions!$C$80</definedName>
    <definedName name="Page8lA3">Instructions!$C$82</definedName>
    <definedName name="Page8lA6">Instructions!$C$84</definedName>
    <definedName name="Page8lA8">Instructions!$C$85</definedName>
    <definedName name="Page8lA9">Instructions!$C$86</definedName>
    <definedName name="PAV">'Data Entry'!$L$78</definedName>
    <definedName name="PercentageIncrease">Cover!$S$34</definedName>
    <definedName name="PercentageIncreaseSumm">'Summary Page 1'!$I$13</definedName>
    <definedName name="PerfPay">'Page 2'!$R$13</definedName>
    <definedName name="PreAdjDAA">'BSA55'!$M$130</definedName>
    <definedName name="PremFYTRCL">'BSA55'!$E$101</definedName>
    <definedName name="PrimTaxRateCurrFY">Cover!$N$13</definedName>
    <definedName name="PrimTaxRatePYSumm">'Summary Page 1'!$C$14</definedName>
    <definedName name="_xlnm.Print_Area" localSheetId="16">'BSA55'!$A$1:$M$166</definedName>
    <definedName name="_xlnm.Print_Area" localSheetId="15">Calculations!$A$1:$S$242</definedName>
    <definedName name="_xlnm.Print_Area" localSheetId="14">'Data Entry'!$A$1:$M$132</definedName>
    <definedName name="_xlnm.Print_Area" localSheetId="1">'District Contacts'!$A$1:$L$40</definedName>
    <definedName name="_xlnm.Print_Area" localSheetId="17">Instructions!$A$1:$D$156</definedName>
    <definedName name="_xlnm.Print_Area" localSheetId="2">'Page 1'!$A$1:$N$46</definedName>
    <definedName name="_xlnm.Print_Area" localSheetId="3">'Page 2'!$A$1:$S$30</definedName>
    <definedName name="_xlnm.Print_Area" localSheetId="4">'Page 3'!$A$1:$O$44</definedName>
    <definedName name="_xlnm.Print_Area" localSheetId="5">'Page 4'!$A$1:$N$41</definedName>
    <definedName name="_xlnm.Print_Area" localSheetId="6">'Page 5'!$A$1:$N$29</definedName>
    <definedName name="_xlnm.Print_Area" localSheetId="7">'Page 6'!$A$1:$U$47</definedName>
    <definedName name="_xlnm.Print_Area" localSheetId="8">'Page 7'!$A$1:$M$73</definedName>
    <definedName name="_xlnm.Print_Area" localSheetId="9">'Page 8'!$A$1:$K$38</definedName>
    <definedName name="_xlnm.Print_Area" localSheetId="11">'Summary Page 1'!$A$1:$I$61</definedName>
    <definedName name="_xlnm.Print_Area" localSheetId="12">'Summary Page 2'!$A$1:$J$51</definedName>
    <definedName name="_xlnm.Print_Area" localSheetId="10">Supplement!$A$1:$O$31</definedName>
    <definedName name="_xlnm.Print_Area" localSheetId="13">'Truth in Tax'!$A$1:$M$51</definedName>
    <definedName name="_xlnm.Print_Titles" localSheetId="16">'BSA55'!$1:$2</definedName>
    <definedName name="_xlnm.Print_Titles" localSheetId="15">Calculations!$1:$4</definedName>
    <definedName name="_xlnm.Print_Titles" localSheetId="14">'Data Entry'!$1:$3</definedName>
    <definedName name="_xlnm.Print_Titles" localSheetId="17">Instructions!$1:$1</definedName>
    <definedName name="PriorYearADM">'Summary Page 1'!$C$12</definedName>
    <definedName name="PriorYearSalary">Cover!$S$32</definedName>
    <definedName name="PriorYearSalarySumm">'Summary Page 1'!$I$11</definedName>
    <definedName name="PY100DayADM">'Data Entry'!$J$16</definedName>
    <definedName name="PYActExpend">'Data Entry'!$C$86</definedName>
    <definedName name="PYADM">'Data Entry'!$C$17</definedName>
    <definedName name="PYEndMOCash">'Data Entry'!$L$129</definedName>
    <definedName name="PYIAEndCash">'Data Entry'!$L$100</definedName>
    <definedName name="PYTotMOActExpend">'Data Entry'!$L$85</definedName>
    <definedName name="QLPSD8">'BSA55'!$E$163</definedName>
    <definedName name="QTR">'Data Entry'!$J$10</definedName>
    <definedName name="RatioAdmin">'Summary Page 2'!$H$38</definedName>
    <definedName name="RatioCertOther">'Summary Page 2'!$H$40</definedName>
    <definedName name="RatioCertSubtotal">'Summary Page 2'!$H$41</definedName>
    <definedName name="RatioClassOther">'Summary Page 2'!$H$45</definedName>
    <definedName name="RatioClassSubtotal">'Summary Page 2'!$H$46</definedName>
    <definedName name="RatioManagers">'Summary Page 2'!$H$43</definedName>
    <definedName name="RatioTeachers">'Summary Page 2'!$H$39</definedName>
    <definedName name="RatioTeachersAides">'Summary Page 2'!$H$44</definedName>
    <definedName name="RatioTotal">'Summary Page 2'!$H$47</definedName>
    <definedName name="RCL">'BSA55'!$J$86</definedName>
    <definedName name="RemoteInstructionDecre">'Data Entry'!$L$74</definedName>
    <definedName name="SalaryComments">Cover!$K$35</definedName>
    <definedName name="SalaryCommentsSumm">'Summary Page 1'!$E$15</definedName>
    <definedName name="SalaryIncrease">Cover!$S$33</definedName>
    <definedName name="SalaryIncreaseSumm">'Summary Page 1'!$I$12</definedName>
    <definedName name="SecTaxRateBudgFYSumm">'Summary Page 1'!$D$17</definedName>
    <definedName name="SecTaxRatePYSumm">'Summary Page 1'!$C$17</definedName>
    <definedName name="SmallIsolated912Checkbox">'Data Entry'!$D$47</definedName>
    <definedName name="SmallIsolatedPSD8Checkbox">'Data Entry'!$C$47</definedName>
    <definedName name="SpecProgOverride">'Page 7'!$J$21</definedName>
    <definedName name="SPEDCareerEdBudgFY">'Page 2'!$G$13</definedName>
    <definedName name="SPEDCareerEdCurrFY">'Page 2'!$F$13</definedName>
    <definedName name="SPEDELLCompInstrBudgFY">'Page 2'!$G$11</definedName>
    <definedName name="SPEDELLCompInstrCurrFY">'Page 2'!$F$11</definedName>
    <definedName name="SPEDELLIncCostBudgFY">'Page 2'!$G$10</definedName>
    <definedName name="SPEDELLIncCostCurrFY">'Page 2'!$F$10</definedName>
    <definedName name="SPEDGiftedEdBudgFY">'Page 2'!$G$8</definedName>
    <definedName name="SPEDGiftedEdCurrFY">'Page 2'!$F$8</definedName>
    <definedName name="SPEDRemedialEdBudgFY">'Page 2'!$G$9</definedName>
    <definedName name="SPEDRemedialEdCurrFY">'Page 2'!$F$9</definedName>
    <definedName name="SPEDStaff">'Summary Page 2'!$H$51</definedName>
    <definedName name="SPEDTeacher">'Summary Page 2'!$H$50</definedName>
    <definedName name="SPEDTotBudgFY">'Page 2'!$G$15</definedName>
    <definedName name="SPEDVocTechEdBudgFY">'Page 2'!$G$12</definedName>
    <definedName name="SPEDVocTechEdCurrFY">'Page 2'!$F$12</definedName>
    <definedName name="SRPV">'Data Entry'!$L$80</definedName>
    <definedName name="SSA_MO">'Page 7'!$J$23</definedName>
    <definedName name="SSA_UCO">'Page 7'!$M$23</definedName>
    <definedName name="SSAFYExceeded">'Data Entry'!$L$106</definedName>
    <definedName name="SSAOriginalBudget">'Truth in Tax'!$G$22</definedName>
    <definedName name="SSAPDRCL10">'Data Entry'!$L$107</definedName>
    <definedName name="SSAPhaseDownCheckbox">'Data Entry'!$C$103</definedName>
    <definedName name="StateSupportLevelRouteMile1">'Data Entry'!$J$8</definedName>
    <definedName name="StateSupportLevelRouteMile2">'Data Entry'!$J$9</definedName>
    <definedName name="SumDebtServiceBY">'Summary Page 2'!$D$16</definedName>
    <definedName name="Summ_Page1_StudentCount">Instructions!$C$96</definedName>
    <definedName name="SummAdjacentWaysBY">'Summary Page 2'!$D$15</definedName>
    <definedName name="SummAdjacentWaysPY">'Summary Page 2'!$C$15</definedName>
    <definedName name="SummAllDisabilityBY">'Summary Page 2'!$E$25</definedName>
    <definedName name="SummAllDisabilityPY">'Summary Page 2'!$D$25</definedName>
    <definedName name="SUMMARY_Page1">'Summary Page 1'!$A$1:$I$63</definedName>
    <definedName name="SUMMARY_Page2">'Summary Page 2'!$A$1:$J$51</definedName>
    <definedName name="SUMMARY2" localSheetId="12">'Summary Page 2'!$B$1:$K$34</definedName>
    <definedName name="SummAuxOpsBY">'Summary Page 2'!$D$18</definedName>
    <definedName name="SummAuxOpsPY">'Summary Page 2'!$C$18</definedName>
    <definedName name="SummBondBuildingBY">'Summary Page 2'!$D$19</definedName>
    <definedName name="SummBondBuildingPY">'Summary Page 2'!$C$19</definedName>
    <definedName name="SummCareerEdBY">'Summary Page 2'!$E$31</definedName>
    <definedName name="SummCareerEdPY">'Summary Page 2'!$D$31</definedName>
    <definedName name="SummCompInstrBY">'Summary Page 2'!$D$9</definedName>
    <definedName name="SummCompInstrPY">'Summary Page 2'!$C$9</definedName>
    <definedName name="SummCSFBY">'Summary Page 2'!$D$10</definedName>
    <definedName name="SummCSFPY">'Summary Page 2'!$C$10</definedName>
    <definedName name="SummCTEDBY">'Summary Page 2'!$E$32</definedName>
    <definedName name="SummCTEDPY">'Summary Page 2'!$D$32</definedName>
    <definedName name="SummDebtServicePY">'Summary Page 2'!$C$16</definedName>
    <definedName name="SummELLBY">'Summary Page 2'!$D$8</definedName>
    <definedName name="SummELLCompInstBY">'Summary Page 2'!$E$29</definedName>
    <definedName name="SummELLIncrementalBY">'Summary Page 2'!$E$28</definedName>
    <definedName name="SummELLIncrementalPY">'Summary Page 2'!$D$28</definedName>
    <definedName name="SummELLPY">'Summary Page 2'!$C$8</definedName>
    <definedName name="SummFedProjectsBY">'Summary Page 2'!$D$11</definedName>
    <definedName name="SummFedProjectsPY">'Summary Page 2'!$C$11</definedName>
    <definedName name="SummFoodServiceBY">'Summary Page 2'!$D$20</definedName>
    <definedName name="SummFoodServicePY">'Summary Page 2'!$C$20</definedName>
    <definedName name="SummFY2018Salary">'Summary Page 1'!$I$23</definedName>
    <definedName name="SummGiftedBY">'Summary Page 2'!$E$26</definedName>
    <definedName name="SummGiftedPY">'Summary Page 2'!$D$26</definedName>
    <definedName name="SummInstImprovBY">'Summary Page 2'!$D$7</definedName>
    <definedName name="SummInstImprovPY">'Summary Page 2'!$C$7</definedName>
    <definedName name="SummMOBY">'Summary Page 2'!$D$6</definedName>
    <definedName name="SummMOPY">'Summary Page 2'!$C$6</definedName>
    <definedName name="SummNSFBY">'Summary Page 2'!$D$14</definedName>
    <definedName name="SummNSFPY">'Summary Page 2'!$C$14</definedName>
    <definedName name="SummOtherBY">'Summary Page 2'!$D$21</definedName>
    <definedName name="SummOtherPY">'Summary Page 2'!$C$21</definedName>
    <definedName name="SummRemedialBY">'Summary Page 2'!$E$27</definedName>
    <definedName name="SummRemedialPY">'Summary Page 2'!$D$27</definedName>
    <definedName name="SummSchoolPlantBY">'Summary Page 2'!$D$17</definedName>
    <definedName name="SummSchoolPlantPY">'Summary Page 2'!$C$17</definedName>
    <definedName name="SummSpecEdTotalBY">'Summary Page 2'!$E$33</definedName>
    <definedName name="SummSpecEdTotalPY">'Summary Page 2'!$D$33</definedName>
    <definedName name="SummStateProjectsBY">'Summary Page 2'!$D$12</definedName>
    <definedName name="SummStateProjectsPY">'Summary Page 2'!$C$12</definedName>
    <definedName name="SummTotalPercentageIncrease">'Summary Page 1'!$I$24</definedName>
    <definedName name="SummUCOBY">'Summary Page 2'!$D$13</definedName>
    <definedName name="SummUCOPY">'Summary Page 2'!$C$13</definedName>
    <definedName name="SummVocandTechEdBY">'Summary Page 2'!$E$30</definedName>
    <definedName name="SummVocandTechEdPY">'Summary Page 2'!$D$30</definedName>
    <definedName name="Suppl_ELL">Instructions!$C$91</definedName>
    <definedName name="Suppl_P.1_2" localSheetId="10">Supplement!$A$1:$O$18</definedName>
    <definedName name="SuppLvlWgt912NonIsolated">Calculations!$L$33</definedName>
    <definedName name="SupportLevelWeight912">Calculations!$L$33</definedName>
    <definedName name="SupportLevelWeight912NonIsolated">Calculations!$L$33</definedName>
    <definedName name="System" localSheetId="0">Cover!$A$6</definedName>
    <definedName name="TaxRates">Instructions!$C$8</definedName>
    <definedName name="TeacherCompCheckbox">'Data Entry'!$C$49</definedName>
    <definedName name="TeacherSalaryIncrease">'Page 2'!$R$34</definedName>
    <definedName name="TEI">'Data Entry'!$L$54</definedName>
    <definedName name="TotalAOIFTStudCntCY">'Data Entry'!$J$20</definedName>
    <definedName name="TotalAOIPTStudCntCY">'Data Entry'!$J$21</definedName>
    <definedName name="TotalDAAAdj">'BSA55'!$M$133</definedName>
    <definedName name="TotalFTEAdmin">'Summary Page 2'!$F$38</definedName>
    <definedName name="TotalFTECertOther">'Summary Page 2'!$F$40</definedName>
    <definedName name="TotalFTECertSubtotal">'Summary Page 2'!$F$41</definedName>
    <definedName name="TotalFTEClassOther">'Summary Page 2'!$F$45</definedName>
    <definedName name="TotalFTEClassSubtotal">'Summary Page 2'!$F$46</definedName>
    <definedName name="TotalFTEManagers">'Summary Page 2'!$F$43</definedName>
    <definedName name="TotalFTESpecEdStaff">'Summary Page 2'!$F$51</definedName>
    <definedName name="TotalFTESpecEdTeacher">'Summary Page 2'!$F$50</definedName>
    <definedName name="TotalFTETeachers">'Summary Page 2'!$F$39</definedName>
    <definedName name="TotalFTETeachersAides">'Summary Page 2'!$F$44</definedName>
    <definedName name="TotalFTETotal">'Summary Page 2'!$F$47</definedName>
    <definedName name="TotalNonAOIStudCntCY">'Data Entry'!$J$19</definedName>
    <definedName name="TotalPercentageIncrease">Cover!$S$41</definedName>
    <definedName name="TotAmtCapExped">'Page 7'!$M$57</definedName>
    <definedName name="TotFedProjFundBudgFY">'Page 6'!$J$24</definedName>
    <definedName name="TotFedProjFundCurrFY">'Page 6'!$I$24</definedName>
    <definedName name="TotSecTaxRateBudgFY">Cover!$Q$22</definedName>
    <definedName name="TotSecTaxRateCurrFY">Cover!$N$22</definedName>
    <definedName name="TotStateProjFundBudgFY">'Page 6'!$J$36</definedName>
    <definedName name="TotStateProjFundCurrFY">'Page 6'!$I$36</definedName>
    <definedName name="TRCLBudgPY" localSheetId="16">'BSA55'!$E$95</definedName>
    <definedName name="TruthinTax">Instructions!$C$97</definedName>
    <definedName name="TruthInTaxBaseLmt">'Truth in Tax'!$I$16</definedName>
    <definedName name="TruthInTaxl1">Instructions!$C$100</definedName>
    <definedName name="TruthinTaxl2">Instructions!$C$101</definedName>
    <definedName name="TruthinTaxl8a">Instructions!$C$102</definedName>
    <definedName name="TSL">'BSA55'!$E$91</definedName>
    <definedName name="TSLBudgPY" localSheetId="16">'BSA55'!$C$98</definedName>
    <definedName name="TwoPriorYearADM">'Summary Page 1'!$B$12</definedName>
    <definedName name="Type01TranspFactor">'BSA55'!$AA$142</definedName>
    <definedName name="Type02TranspFactor">'BSA55'!$AA$139</definedName>
    <definedName name="Type03TranspFactor">'BSA55'!$AA$138</definedName>
    <definedName name="Type04TranspFactor">'BSA55'!$AA$140</definedName>
    <definedName name="Type05TranspFactor">'BSA55'!$AA$141</definedName>
    <definedName name="UCBLBudgFY">'Page 8'!$K$32</definedName>
    <definedName name="UCBLBudgFYSumm">'Summary Page 1'!$D$24</definedName>
    <definedName name="UCOBudgFYSumm">'Summary Page 1'!$C$24</definedName>
    <definedName name="UCOFundK3ReadExp">'Page 4'!$K$31</definedName>
    <definedName name="UnweightedStudCnt912CY">'Data Entry'!$I$22</definedName>
    <definedName name="UnweightedStudCnt912PY">'Data Entry'!$I$17</definedName>
    <definedName name="UnweightedStudCntK8CY">'Data Entry'!$H$22</definedName>
    <definedName name="UnweightedStudCntK8PY">'Data Entry'!$H$17</definedName>
    <definedName name="UnweightedStudCntPSDCY">'Data Entry'!$G$22</definedName>
    <definedName name="UnweightedStudCntPSDPY">'Data Entry'!$G$17</definedName>
    <definedName name="Version">Cover!$C$8</definedName>
    <definedName name="Z_0F9ECBDE_145C_4D55_87B4_D9130808EEB8_.wvu.PrintArea" localSheetId="0" hidden="1">Cover!$A$1:$Q$39</definedName>
    <definedName name="Z_0F9ECBDE_145C_4D55_87B4_D9130808EEB8_.wvu.PrintArea" localSheetId="2" hidden="1">'Page 1'!$A$1:$N$45</definedName>
    <definedName name="Z_0F9ECBDE_145C_4D55_87B4_D9130808EEB8_.wvu.PrintArea" localSheetId="3" hidden="1">'Page 2'!$A$1:$T$49</definedName>
    <definedName name="Z_0F9ECBDE_145C_4D55_87B4_D9130808EEB8_.wvu.PrintArea" localSheetId="4" hidden="1">'Page 3'!$A$1:$S$2</definedName>
    <definedName name="Z_0F9ECBDE_145C_4D55_87B4_D9130808EEB8_.wvu.PrintArea" localSheetId="5" hidden="1">'Page 4'!$A$1:$O$39</definedName>
    <definedName name="Z_0F9ECBDE_145C_4D55_87B4_D9130808EEB8_.wvu.PrintArea" localSheetId="7" hidden="1">'Page 6'!$A$1:$U$44</definedName>
    <definedName name="Z_0F9ECBDE_145C_4D55_87B4_D9130808EEB8_.wvu.PrintArea" localSheetId="8" hidden="1">'Page 7'!$A$1:$M$73</definedName>
    <definedName name="Z_0F9ECBDE_145C_4D55_87B4_D9130808EEB8_.wvu.PrintArea" localSheetId="9" hidden="1">'Page 8'!$A$1:$K$36</definedName>
    <definedName name="Z_0F9ECBDE_145C_4D55_87B4_D9130808EEB8_.wvu.PrintArea" localSheetId="11" hidden="1">'Summary Page 1'!$A$1:$I$61</definedName>
    <definedName name="Z_0F9ECBDE_145C_4D55_87B4_D9130808EEB8_.wvu.PrintArea" localSheetId="12" hidden="1">'Summary Page 2'!$A$1:$J$51</definedName>
    <definedName name="Z_0F9ECBDE_145C_4D55_87B4_D9130808EEB8_.wvu.PrintArea" localSheetId="10" hidden="1">Supplement!$A$1:$O$18</definedName>
    <definedName name="Z_0F9ECBDE_145C_4D55_87B4_D9130808EEB8_.wvu.PrintArea" localSheetId="13" hidden="1">'Truth in Tax'!$A$1:$M$49</definedName>
    <definedName name="Z_903F8610_9018_4A51_AB82_3BFF7D9F8301_.wvu.PrintArea" localSheetId="0" hidden="1">Cover!$A$1:$Q$39</definedName>
    <definedName name="Z_903F8610_9018_4A51_AB82_3BFF7D9F8301_.wvu.PrintArea" localSheetId="2" hidden="1">'Page 1'!$A$1:$N$45</definedName>
    <definedName name="Z_903F8610_9018_4A51_AB82_3BFF7D9F8301_.wvu.PrintArea" localSheetId="3" hidden="1">'Page 2'!$A$1:$T$49</definedName>
    <definedName name="Z_903F8610_9018_4A51_AB82_3BFF7D9F8301_.wvu.PrintArea" localSheetId="4" hidden="1">'Page 3'!$A$1:$S$2</definedName>
    <definedName name="Z_903F8610_9018_4A51_AB82_3BFF7D9F8301_.wvu.PrintArea" localSheetId="5" hidden="1">'Page 4'!$A$1:$O$39</definedName>
    <definedName name="Z_903F8610_9018_4A51_AB82_3BFF7D9F8301_.wvu.PrintArea" localSheetId="7" hidden="1">'Page 6'!$A$1:$U$44</definedName>
    <definedName name="Z_903F8610_9018_4A51_AB82_3BFF7D9F8301_.wvu.PrintArea" localSheetId="8" hidden="1">'Page 7'!$A$1:$M$73</definedName>
    <definedName name="Z_903F8610_9018_4A51_AB82_3BFF7D9F8301_.wvu.PrintArea" localSheetId="9" hidden="1">'Page 8'!$A$1:$K$36</definedName>
    <definedName name="Z_903F8610_9018_4A51_AB82_3BFF7D9F8301_.wvu.PrintArea" localSheetId="11" hidden="1">'Summary Page 1'!$A$1:$I$61</definedName>
    <definedName name="Z_903F8610_9018_4A51_AB82_3BFF7D9F8301_.wvu.PrintArea" localSheetId="12" hidden="1">'Summary Page 2'!$A$1:$J$51</definedName>
    <definedName name="Z_903F8610_9018_4A51_AB82_3BFF7D9F8301_.wvu.PrintArea" localSheetId="10" hidden="1">Supplement!$A$1:$O$18</definedName>
    <definedName name="Z_903F8610_9018_4A51_AB82_3BFF7D9F8301_.wvu.PrintArea" localSheetId="13" hidden="1">'Truth in Tax'!$A$1:$M$49</definedName>
  </definedNames>
  <calcPr calcId="125725" fullPrecision="0"/>
  <customWorkbookViews>
    <customWorkbookView name="awinn - Personal View" guid="{903F8610-9018-4A51-AB82-3BFF7D9F8301}" mergeInterval="0" personalView="1" maximized="1" xWindow="240" yWindow="120" windowWidth="1020" windowHeight="596" tabRatio="915" activeSheetId="9"/>
    <customWorkbookView name="ccable - Personal View" guid="{0F9ECBDE-145C-4D55-87B4-D9130808EEB8}" mergeInterval="0" personalView="1" maximized="1" xWindow="240" yWindow="120" windowWidth="1020" windowHeight="591" tabRatio="915" activeSheetId="9"/>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31" i="16"/>
  <c r="D35" i="29"/>
  <c r="G22" i="15" l="1"/>
  <c r="G18"/>
  <c r="L101" i="28"/>
  <c r="L100"/>
  <c r="L99"/>
  <c r="L98"/>
  <c r="L97"/>
  <c r="L96"/>
  <c r="R86"/>
  <c r="R83"/>
  <c r="D32" i="14" a="1"/>
  <c r="D32" s="1"/>
  <c r="E60" i="13"/>
  <c r="C60"/>
  <c r="E58"/>
  <c r="C58"/>
  <c r="E57"/>
  <c r="C57"/>
  <c r="E56"/>
  <c r="C56"/>
  <c r="E55"/>
  <c r="C55"/>
  <c r="E53"/>
  <c r="C53"/>
  <c r="E52"/>
  <c r="C52"/>
  <c r="E51"/>
  <c r="C51"/>
  <c r="E50"/>
  <c r="C50"/>
  <c r="E49"/>
  <c r="C49"/>
  <c r="E47"/>
  <c r="C47"/>
  <c r="E45"/>
  <c r="C45"/>
  <c r="E43"/>
  <c r="C43"/>
  <c r="E42"/>
  <c r="C42"/>
  <c r="E41"/>
  <c r="C41"/>
  <c r="E40"/>
  <c r="C40"/>
  <c r="E39"/>
  <c r="C39"/>
  <c r="E38"/>
  <c r="C38"/>
  <c r="E37"/>
  <c r="C37"/>
  <c r="E36"/>
  <c r="C36"/>
  <c r="E34"/>
  <c r="C34"/>
  <c r="E32"/>
  <c r="C32"/>
  <c r="L29" i="17"/>
  <c r="L28"/>
  <c r="L27"/>
  <c r="L26"/>
  <c r="L25"/>
  <c r="L24"/>
  <c r="L23"/>
  <c r="L21"/>
  <c r="L19"/>
  <c r="L17"/>
  <c r="L16"/>
  <c r="L15"/>
  <c r="L14"/>
  <c r="L13"/>
  <c r="L12"/>
  <c r="L11"/>
  <c r="L9"/>
  <c r="L7"/>
  <c r="D29"/>
  <c r="D28"/>
  <c r="D27"/>
  <c r="D26"/>
  <c r="D25"/>
  <c r="D24"/>
  <c r="D23"/>
  <c r="D21"/>
  <c r="D19"/>
  <c r="D17"/>
  <c r="D16"/>
  <c r="D15"/>
  <c r="D14"/>
  <c r="D13"/>
  <c r="D12"/>
  <c r="D11"/>
  <c r="D9"/>
  <c r="D7"/>
  <c r="K13" i="19"/>
  <c r="K7"/>
  <c r="I33" i="7" a="1"/>
  <c r="I33" s="1"/>
  <c r="F33" a="1"/>
  <c r="F33" s="1"/>
  <c r="F43"/>
  <c r="F42"/>
  <c r="F41"/>
  <c r="F40"/>
  <c r="I35"/>
  <c r="F35"/>
  <c r="I34"/>
  <c r="F34"/>
  <c r="I32"/>
  <c r="F32"/>
  <c r="I31"/>
  <c r="F31"/>
  <c r="I30"/>
  <c r="F30"/>
  <c r="I29"/>
  <c r="F29"/>
  <c r="I28"/>
  <c r="F28"/>
  <c r="I27"/>
  <c r="F27"/>
  <c r="I25"/>
  <c r="F25"/>
  <c r="I23"/>
  <c r="F23"/>
  <c r="I22"/>
  <c r="F22"/>
  <c r="I21"/>
  <c r="F21"/>
  <c r="I20"/>
  <c r="F20"/>
  <c r="I19"/>
  <c r="F19"/>
  <c r="I18"/>
  <c r="F18"/>
  <c r="I17"/>
  <c r="F17"/>
  <c r="I16"/>
  <c r="F16"/>
  <c r="I15"/>
  <c r="F15"/>
  <c r="I14"/>
  <c r="F14"/>
  <c r="I13"/>
  <c r="F13"/>
  <c r="I12"/>
  <c r="F12"/>
  <c r="I11"/>
  <c r="F11"/>
  <c r="I10"/>
  <c r="F10"/>
  <c r="I9"/>
  <c r="F9"/>
  <c r="I8"/>
  <c r="F8"/>
  <c r="I7"/>
  <c r="F7"/>
  <c r="S43"/>
  <c r="S42"/>
  <c r="S41"/>
  <c r="S40"/>
  <c r="S38"/>
  <c r="S37"/>
  <c r="S36"/>
  <c r="S35"/>
  <c r="S34"/>
  <c r="S33"/>
  <c r="S32"/>
  <c r="S31"/>
  <c r="S30"/>
  <c r="S29"/>
  <c r="S28"/>
  <c r="S27"/>
  <c r="S26"/>
  <c r="S25"/>
  <c r="S24"/>
  <c r="S23"/>
  <c r="S22"/>
  <c r="S21"/>
  <c r="S20"/>
  <c r="S19"/>
  <c r="S18"/>
  <c r="S17"/>
  <c r="S16"/>
  <c r="S15"/>
  <c r="S14"/>
  <c r="S13"/>
  <c r="S12"/>
  <c r="S11"/>
  <c r="S10"/>
  <c r="S9"/>
  <c r="S8"/>
  <c r="S5"/>
  <c r="J24" i="23"/>
  <c r="H24"/>
  <c r="F24"/>
  <c r="D24"/>
  <c r="J23"/>
  <c r="H23"/>
  <c r="F23"/>
  <c r="D23"/>
  <c r="J22"/>
  <c r="F22"/>
  <c r="D22"/>
  <c r="J19"/>
  <c r="H19"/>
  <c r="F19"/>
  <c r="D19"/>
  <c r="J18"/>
  <c r="H18"/>
  <c r="F18"/>
  <c r="D18"/>
  <c r="J17"/>
  <c r="H17"/>
  <c r="F17"/>
  <c r="D17"/>
  <c r="J16"/>
  <c r="H16"/>
  <c r="F16"/>
  <c r="D16"/>
  <c r="J15"/>
  <c r="H15"/>
  <c r="F15"/>
  <c r="D15"/>
  <c r="J14"/>
  <c r="H14"/>
  <c r="F14"/>
  <c r="D14"/>
  <c r="J13"/>
  <c r="H13"/>
  <c r="F13"/>
  <c r="D13"/>
  <c r="J12"/>
  <c r="H12"/>
  <c r="F12"/>
  <c r="D12"/>
  <c r="J11"/>
  <c r="H11"/>
  <c r="F11"/>
  <c r="D11"/>
  <c r="J10"/>
  <c r="H10"/>
  <c r="F10"/>
  <c r="D10"/>
  <c r="J8"/>
  <c r="H8"/>
  <c r="F8"/>
  <c r="K18" i="5"/>
  <c r="K17"/>
  <c r="K16"/>
  <c r="K15"/>
  <c r="K14"/>
  <c r="K13"/>
  <c r="K11"/>
  <c r="K9"/>
  <c r="K8"/>
  <c r="J14" i="29" a="1"/>
  <c r="J14" s="1"/>
  <c r="J13" a="1"/>
  <c r="J13" s="1"/>
  <c r="J7" a="1"/>
  <c r="J7" s="1"/>
  <c r="J9" a="1"/>
  <c r="J9" s="1"/>
  <c r="J11" a="1"/>
  <c r="J11" s="1"/>
  <c r="J10" a="1"/>
  <c r="J10" s="1"/>
  <c r="J12" a="1"/>
  <c r="J12" s="1"/>
  <c r="J8" a="1"/>
  <c r="J8" s="1"/>
  <c r="J6" a="1"/>
  <c r="J6" s="1"/>
  <c r="F19" i="3" a="1"/>
  <c r="F19" s="1"/>
  <c r="F28"/>
  <c r="F14"/>
  <c r="F13"/>
  <c r="F12"/>
  <c r="F11"/>
  <c r="F10"/>
  <c r="F9"/>
  <c r="F8"/>
  <c r="F7"/>
  <c r="K42" i="2"/>
  <c r="K41"/>
  <c r="K39"/>
  <c r="K38"/>
  <c r="K35"/>
  <c r="K33"/>
  <c r="K32"/>
  <c r="K31"/>
  <c r="K30"/>
  <c r="K29"/>
  <c r="K28"/>
  <c r="K27"/>
  <c r="K25"/>
  <c r="K23"/>
  <c r="K21"/>
  <c r="K20"/>
  <c r="K19"/>
  <c r="K18"/>
  <c r="K17"/>
  <c r="K16"/>
  <c r="K15"/>
  <c r="K14"/>
  <c r="K13"/>
  <c r="K12"/>
  <c r="K11"/>
  <c r="K9"/>
  <c r="K7"/>
  <c r="D41"/>
  <c r="D39"/>
  <c r="D38"/>
  <c r="D35"/>
  <c r="D33"/>
  <c r="D32"/>
  <c r="D31"/>
  <c r="D30"/>
  <c r="D29"/>
  <c r="D28"/>
  <c r="D27"/>
  <c r="D25"/>
  <c r="D23"/>
  <c r="D21"/>
  <c r="D20"/>
  <c r="D19"/>
  <c r="D18"/>
  <c r="D17"/>
  <c r="D16"/>
  <c r="D15"/>
  <c r="D14"/>
  <c r="D13"/>
  <c r="D12"/>
  <c r="D11"/>
  <c r="D9"/>
  <c r="D7"/>
  <c r="M36"/>
  <c r="L36"/>
  <c r="K36"/>
  <c r="J36"/>
  <c r="I36"/>
  <c r="H36"/>
  <c r="G36"/>
  <c r="F36"/>
  <c r="E36"/>
  <c r="D36"/>
  <c r="I5" i="15" a="1"/>
  <c r="I5" s="1"/>
  <c r="D31" i="29" a="1"/>
  <c r="D31" s="1"/>
  <c r="C98" i="30" a="1"/>
  <c r="C98" s="1"/>
  <c r="E95" a="1"/>
  <c r="E95" s="1"/>
  <c r="G15" i="3"/>
  <c r="E15" i="13"/>
  <c r="L36" i="14"/>
  <c r="L35"/>
  <c r="L33"/>
  <c r="L32"/>
  <c r="F31" i="16"/>
  <c r="K25" i="23" l="1"/>
  <c r="I25"/>
  <c r="G25"/>
  <c r="T31" i="16"/>
  <c r="E25" i="23"/>
  <c r="G150" i="30"/>
  <c r="E150"/>
  <c r="G149"/>
  <c r="E149"/>
  <c r="G148"/>
  <c r="E148"/>
  <c r="G147"/>
  <c r="G151" s="1"/>
  <c r="G153" s="1"/>
  <c r="E147"/>
  <c r="E151" s="1"/>
  <c r="E153" s="1"/>
  <c r="E142"/>
  <c r="G139"/>
  <c r="D137"/>
  <c r="M133"/>
  <c r="G133"/>
  <c r="E133"/>
  <c r="M132"/>
  <c r="G132"/>
  <c r="E132"/>
  <c r="I125"/>
  <c r="M127" s="1"/>
  <c r="C117"/>
  <c r="G113"/>
  <c r="E113"/>
  <c r="E112"/>
  <c r="I111"/>
  <c r="G111"/>
  <c r="E111"/>
  <c r="G108"/>
  <c r="D106"/>
  <c r="E90"/>
  <c r="D90"/>
  <c r="C90"/>
  <c r="E86"/>
  <c r="J84"/>
  <c r="E82"/>
  <c r="E80"/>
  <c r="E79"/>
  <c r="E81" s="1"/>
  <c r="E87" s="1"/>
  <c r="E88" s="1"/>
  <c r="E78"/>
  <c r="J77"/>
  <c r="G73"/>
  <c r="D71"/>
  <c r="C63"/>
  <c r="C61"/>
  <c r="C60"/>
  <c r="H55"/>
  <c r="C54"/>
  <c r="O39" i="28" s="1"/>
  <c r="H52" i="30"/>
  <c r="H45"/>
  <c r="F45"/>
  <c r="G41"/>
  <c r="D39"/>
  <c r="L38"/>
  <c r="I35"/>
  <c r="H35"/>
  <c r="E33"/>
  <c r="D33"/>
  <c r="I32"/>
  <c r="H32"/>
  <c r="G32"/>
  <c r="E32"/>
  <c r="D32"/>
  <c r="C32"/>
  <c r="I31"/>
  <c r="H31"/>
  <c r="G31"/>
  <c r="E31"/>
  <c r="D31"/>
  <c r="C31"/>
  <c r="I30"/>
  <c r="H30"/>
  <c r="G30"/>
  <c r="E30"/>
  <c r="D30"/>
  <c r="C30"/>
  <c r="I29"/>
  <c r="H29"/>
  <c r="G29"/>
  <c r="E29"/>
  <c r="D29"/>
  <c r="C29"/>
  <c r="I28"/>
  <c r="H28"/>
  <c r="G28"/>
  <c r="E28"/>
  <c r="D28"/>
  <c r="C28"/>
  <c r="I27"/>
  <c r="H27"/>
  <c r="G27"/>
  <c r="E27"/>
  <c r="D27"/>
  <c r="C27"/>
  <c r="I26"/>
  <c r="H26"/>
  <c r="G26"/>
  <c r="E26"/>
  <c r="D26"/>
  <c r="C26"/>
  <c r="I25"/>
  <c r="H25"/>
  <c r="G25"/>
  <c r="E25"/>
  <c r="D25"/>
  <c r="C25"/>
  <c r="I24"/>
  <c r="H24"/>
  <c r="G24"/>
  <c r="E24"/>
  <c r="D24"/>
  <c r="C24"/>
  <c r="I23"/>
  <c r="H23"/>
  <c r="G23"/>
  <c r="E23"/>
  <c r="D23"/>
  <c r="C23"/>
  <c r="I22"/>
  <c r="H22"/>
  <c r="G22"/>
  <c r="E22"/>
  <c r="D22"/>
  <c r="C22"/>
  <c r="I21"/>
  <c r="H21"/>
  <c r="G21"/>
  <c r="E21"/>
  <c r="D21"/>
  <c r="C21"/>
  <c r="I20"/>
  <c r="H20"/>
  <c r="G20"/>
  <c r="E20"/>
  <c r="D20"/>
  <c r="C20"/>
  <c r="I19"/>
  <c r="H19"/>
  <c r="G19"/>
  <c r="E19"/>
  <c r="D19"/>
  <c r="C19"/>
  <c r="I18"/>
  <c r="H18"/>
  <c r="G18"/>
  <c r="E18"/>
  <c r="D18"/>
  <c r="C18"/>
  <c r="I17"/>
  <c r="H17"/>
  <c r="G17"/>
  <c r="E17"/>
  <c r="D17"/>
  <c r="C17"/>
  <c r="AA13"/>
  <c r="E10"/>
  <c r="D10"/>
  <c r="E9"/>
  <c r="D9"/>
  <c r="C9"/>
  <c r="I8"/>
  <c r="H8"/>
  <c r="G8"/>
  <c r="F8"/>
  <c r="E8"/>
  <c r="D8"/>
  <c r="C8"/>
  <c r="I7"/>
  <c r="H7"/>
  <c r="G7"/>
  <c r="F7"/>
  <c r="E7"/>
  <c r="D7"/>
  <c r="C7"/>
  <c r="G5"/>
  <c r="D3"/>
  <c r="L2"/>
  <c r="L1"/>
  <c r="G1"/>
  <c r="B1"/>
  <c r="R240" i="28"/>
  <c r="R239"/>
  <c r="R238"/>
  <c r="R237"/>
  <c r="R235"/>
  <c r="R230"/>
  <c r="R229"/>
  <c r="R224"/>
  <c r="R223"/>
  <c r="R222"/>
  <c r="R221"/>
  <c r="R220"/>
  <c r="R215"/>
  <c r="R214"/>
  <c r="R213"/>
  <c r="R212"/>
  <c r="R211"/>
  <c r="R210"/>
  <c r="R209"/>
  <c r="R205"/>
  <c r="R204"/>
  <c r="R202"/>
  <c r="Y192"/>
  <c r="Y191"/>
  <c r="Y190"/>
  <c r="R190"/>
  <c r="O181"/>
  <c r="O183" s="1"/>
  <c r="O185" s="1"/>
  <c r="O177"/>
  <c r="R178" s="1"/>
  <c r="O176"/>
  <c r="O175"/>
  <c r="O173"/>
  <c r="O171"/>
  <c r="R158"/>
  <c r="R156"/>
  <c r="R159" s="1"/>
  <c r="R160" s="1"/>
  <c r="R161" s="1"/>
  <c r="Z155"/>
  <c r="O154"/>
  <c r="O153"/>
  <c r="R155" s="1"/>
  <c r="O152"/>
  <c r="Z151"/>
  <c r="Z153" s="1"/>
  <c r="O151"/>
  <c r="Z150"/>
  <c r="Y150"/>
  <c r="Y155" s="1"/>
  <c r="O149"/>
  <c r="R145"/>
  <c r="Z144"/>
  <c r="Y144"/>
  <c r="R144"/>
  <c r="O143"/>
  <c r="Z142"/>
  <c r="Y142"/>
  <c r="O142"/>
  <c r="O141"/>
  <c r="Z140"/>
  <c r="Y140"/>
  <c r="O140"/>
  <c r="Z139"/>
  <c r="Y139"/>
  <c r="O138"/>
  <c r="R126"/>
  <c r="R125"/>
  <c r="R124"/>
  <c r="R123"/>
  <c r="O122"/>
  <c r="Q98" i="27" s="1"/>
  <c r="R121" i="28"/>
  <c r="R119"/>
  <c r="O115"/>
  <c r="O114"/>
  <c r="O113"/>
  <c r="R108"/>
  <c r="R104"/>
  <c r="O101"/>
  <c r="R101"/>
  <c r="J40" i="8" s="1"/>
  <c r="O100" i="28"/>
  <c r="R100"/>
  <c r="O99"/>
  <c r="R99"/>
  <c r="O98"/>
  <c r="R98"/>
  <c r="O97"/>
  <c r="R97"/>
  <c r="O96"/>
  <c r="R96"/>
  <c r="R90"/>
  <c r="R84"/>
  <c r="R87" s="1"/>
  <c r="R88" s="1"/>
  <c r="L74"/>
  <c r="L72"/>
  <c r="L70"/>
  <c r="L68"/>
  <c r="O67"/>
  <c r="O70" s="1"/>
  <c r="L67"/>
  <c r="L63"/>
  <c r="L61"/>
  <c r="L59"/>
  <c r="L57"/>
  <c r="O56"/>
  <c r="O63" s="1"/>
  <c r="L56"/>
  <c r="V38"/>
  <c r="U38"/>
  <c r="O38"/>
  <c r="V37"/>
  <c r="U37"/>
  <c r="V36"/>
  <c r="U36"/>
  <c r="V35"/>
  <c r="U35"/>
  <c r="J29"/>
  <c r="H29"/>
  <c r="J27"/>
  <c r="H27"/>
  <c r="J25"/>
  <c r="H25"/>
  <c r="J24"/>
  <c r="H24"/>
  <c r="J21"/>
  <c r="H21"/>
  <c r="J19"/>
  <c r="H19"/>
  <c r="J17"/>
  <c r="H17"/>
  <c r="J16"/>
  <c r="H16"/>
  <c r="O2"/>
  <c r="O1"/>
  <c r="R226" s="1"/>
  <c r="I1"/>
  <c r="E1"/>
  <c r="K103" i="27"/>
  <c r="M79"/>
  <c r="L57"/>
  <c r="L53"/>
  <c r="I44"/>
  <c r="H44"/>
  <c r="G44"/>
  <c r="I22"/>
  <c r="I24" i="28" s="1"/>
  <c r="H22" i="27"/>
  <c r="G22"/>
  <c r="J21"/>
  <c r="J20"/>
  <c r="J19"/>
  <c r="C10" i="30" s="1"/>
  <c r="E11" s="1"/>
  <c r="Z17" i="27"/>
  <c r="Y17"/>
  <c r="J17"/>
  <c r="L2"/>
  <c r="L1"/>
  <c r="K19" s="1"/>
  <c r="I1"/>
  <c r="E1"/>
  <c r="I38" i="15"/>
  <c r="I36"/>
  <c r="L31"/>
  <c r="L29"/>
  <c r="I29"/>
  <c r="I23"/>
  <c r="I19"/>
  <c r="I14"/>
  <c r="L14" s="1"/>
  <c r="L13"/>
  <c r="L12"/>
  <c r="I12"/>
  <c r="L11"/>
  <c r="I7"/>
  <c r="L2"/>
  <c r="L1"/>
  <c r="E1"/>
  <c r="F51" i="14"/>
  <c r="G16" s="1"/>
  <c r="F50"/>
  <c r="D47"/>
  <c r="H46"/>
  <c r="F46"/>
  <c r="E46"/>
  <c r="D46"/>
  <c r="H45"/>
  <c r="F45"/>
  <c r="F44"/>
  <c r="H44" s="1"/>
  <c r="H43"/>
  <c r="F43"/>
  <c r="E41"/>
  <c r="E47" s="1"/>
  <c r="F47" s="1"/>
  <c r="H47" s="1"/>
  <c r="D41"/>
  <c r="H40"/>
  <c r="F40"/>
  <c r="F39"/>
  <c r="H39" s="1"/>
  <c r="H38"/>
  <c r="F38"/>
  <c r="N36"/>
  <c r="N35"/>
  <c r="N34"/>
  <c r="N33"/>
  <c r="N32"/>
  <c r="E32"/>
  <c r="N31"/>
  <c r="E31"/>
  <c r="N30"/>
  <c r="E30"/>
  <c r="N29"/>
  <c r="E29"/>
  <c r="N28"/>
  <c r="E28"/>
  <c r="N27"/>
  <c r="E27"/>
  <c r="N26"/>
  <c r="E26"/>
  <c r="N25"/>
  <c r="E25"/>
  <c r="N24"/>
  <c r="N23"/>
  <c r="N22"/>
  <c r="N21"/>
  <c r="N20"/>
  <c r="D20"/>
  <c r="N19"/>
  <c r="D19"/>
  <c r="N18"/>
  <c r="D18"/>
  <c r="N17"/>
  <c r="D17"/>
  <c r="N16"/>
  <c r="D16"/>
  <c r="N15"/>
  <c r="D15"/>
  <c r="N14"/>
  <c r="D14"/>
  <c r="N13"/>
  <c r="N12"/>
  <c r="D12"/>
  <c r="N11"/>
  <c r="N10"/>
  <c r="N9"/>
  <c r="D9"/>
  <c r="N8"/>
  <c r="D8"/>
  <c r="N7"/>
  <c r="N6"/>
  <c r="N5"/>
  <c r="I2"/>
  <c r="I1"/>
  <c r="A1"/>
  <c r="F60" i="13"/>
  <c r="D60"/>
  <c r="H60" s="1"/>
  <c r="F58"/>
  <c r="D58"/>
  <c r="H58" s="1"/>
  <c r="F57"/>
  <c r="D57"/>
  <c r="H57" s="1"/>
  <c r="F55"/>
  <c r="D55"/>
  <c r="F53"/>
  <c r="D53"/>
  <c r="H53" s="1"/>
  <c r="F52"/>
  <c r="D52"/>
  <c r="F51"/>
  <c r="D51"/>
  <c r="H51" s="1"/>
  <c r="F50"/>
  <c r="D50"/>
  <c r="F49"/>
  <c r="D49"/>
  <c r="H49" s="1"/>
  <c r="F47"/>
  <c r="D47"/>
  <c r="F45"/>
  <c r="D45"/>
  <c r="F43"/>
  <c r="D43"/>
  <c r="H43" s="1"/>
  <c r="F42"/>
  <c r="D42"/>
  <c r="F41"/>
  <c r="D41"/>
  <c r="H41" s="1"/>
  <c r="F40"/>
  <c r="D40"/>
  <c r="H40" s="1"/>
  <c r="F39"/>
  <c r="D39"/>
  <c r="H39" s="1"/>
  <c r="F38"/>
  <c r="D38"/>
  <c r="F37"/>
  <c r="D37"/>
  <c r="F36"/>
  <c r="D36"/>
  <c r="H36" s="1"/>
  <c r="F34"/>
  <c r="D34"/>
  <c r="H34" s="1"/>
  <c r="F32"/>
  <c r="D32"/>
  <c r="D17"/>
  <c r="C17"/>
  <c r="D14"/>
  <c r="C14"/>
  <c r="I12"/>
  <c r="I11"/>
  <c r="I10"/>
  <c r="I5"/>
  <c r="I4"/>
  <c r="H4"/>
  <c r="G4"/>
  <c r="F4"/>
  <c r="E4"/>
  <c r="I2"/>
  <c r="K5" s="1"/>
  <c r="I1"/>
  <c r="A1"/>
  <c r="M30" i="17"/>
  <c r="K30"/>
  <c r="I30"/>
  <c r="H30"/>
  <c r="G30"/>
  <c r="F30"/>
  <c r="E30"/>
  <c r="M29"/>
  <c r="N29"/>
  <c r="M28"/>
  <c r="N28"/>
  <c r="M27"/>
  <c r="N27"/>
  <c r="M26"/>
  <c r="N26"/>
  <c r="M25"/>
  <c r="N25"/>
  <c r="M24"/>
  <c r="N24"/>
  <c r="M23"/>
  <c r="N23"/>
  <c r="M21"/>
  <c r="N21"/>
  <c r="M19"/>
  <c r="N19"/>
  <c r="M18"/>
  <c r="K18"/>
  <c r="I18"/>
  <c r="H18"/>
  <c r="G18"/>
  <c r="F18"/>
  <c r="E18"/>
  <c r="M17"/>
  <c r="N17"/>
  <c r="M16"/>
  <c r="N16"/>
  <c r="M15"/>
  <c r="N15"/>
  <c r="M14"/>
  <c r="N14"/>
  <c r="M13"/>
  <c r="N13"/>
  <c r="M12"/>
  <c r="N12"/>
  <c r="M11"/>
  <c r="N11"/>
  <c r="M9"/>
  <c r="N9"/>
  <c r="M7"/>
  <c r="N7"/>
  <c r="N1"/>
  <c r="K1"/>
  <c r="G1"/>
  <c r="B1"/>
  <c r="K11" i="19"/>
  <c r="K2"/>
  <c r="K1"/>
  <c r="G1"/>
  <c r="E1"/>
  <c r="N37" i="8"/>
  <c r="H15"/>
  <c r="M2"/>
  <c r="M1"/>
  <c r="G1"/>
  <c r="D1"/>
  <c r="H44" i="7"/>
  <c r="D7" i="14" s="1"/>
  <c r="M36"/>
  <c r="M35"/>
  <c r="M34"/>
  <c r="M33"/>
  <c r="M32"/>
  <c r="M31"/>
  <c r="M30"/>
  <c r="J36" i="7"/>
  <c r="G36"/>
  <c r="C16" i="14"/>
  <c r="M29"/>
  <c r="M28"/>
  <c r="M27"/>
  <c r="M26"/>
  <c r="M25"/>
  <c r="M24"/>
  <c r="M23"/>
  <c r="M22"/>
  <c r="M21"/>
  <c r="M20"/>
  <c r="M19"/>
  <c r="J24" i="7"/>
  <c r="G24"/>
  <c r="G37" s="1"/>
  <c r="M18" i="14"/>
  <c r="M17"/>
  <c r="M16"/>
  <c r="M15"/>
  <c r="M14"/>
  <c r="M13"/>
  <c r="M12"/>
  <c r="M11"/>
  <c r="M10"/>
  <c r="M9"/>
  <c r="M8"/>
  <c r="C18"/>
  <c r="M7"/>
  <c r="M6"/>
  <c r="C20"/>
  <c r="C17"/>
  <c r="T7" i="7"/>
  <c r="T6"/>
  <c r="M5" i="14"/>
  <c r="T1" i="7"/>
  <c r="P1"/>
  <c r="J1"/>
  <c r="D1"/>
  <c r="A29" i="23"/>
  <c r="K20"/>
  <c r="K26" s="1"/>
  <c r="I20"/>
  <c r="I26" s="1"/>
  <c r="G20"/>
  <c r="G26" s="1"/>
  <c r="E17"/>
  <c r="E16"/>
  <c r="E15"/>
  <c r="E20" s="1"/>
  <c r="E26" s="1"/>
  <c r="C15" i="14"/>
  <c r="F15" s="1"/>
  <c r="C14"/>
  <c r="F14" s="1"/>
  <c r="C19"/>
  <c r="F19" s="1"/>
  <c r="N1" i="23"/>
  <c r="K1"/>
  <c r="H1"/>
  <c r="B1"/>
  <c r="J19" i="5"/>
  <c r="I19"/>
  <c r="H19"/>
  <c r="G19"/>
  <c r="F19"/>
  <c r="E19"/>
  <c r="D19"/>
  <c r="L18"/>
  <c r="M18"/>
  <c r="L17"/>
  <c r="M17" s="1"/>
  <c r="L16"/>
  <c r="M16"/>
  <c r="L15"/>
  <c r="M15" s="1"/>
  <c r="L14"/>
  <c r="M14"/>
  <c r="L13"/>
  <c r="M13" s="1"/>
  <c r="M12"/>
  <c r="L11"/>
  <c r="M11" s="1"/>
  <c r="M10"/>
  <c r="L9"/>
  <c r="L8"/>
  <c r="M8"/>
  <c r="N1"/>
  <c r="L1"/>
  <c r="H1"/>
  <c r="B1"/>
  <c r="I14" i="29"/>
  <c r="H14"/>
  <c r="G14"/>
  <c r="F14"/>
  <c r="E14"/>
  <c r="K14" s="1"/>
  <c r="C23" i="13" s="1"/>
  <c r="D14" i="29"/>
  <c r="K13"/>
  <c r="K12"/>
  <c r="K11"/>
  <c r="L11"/>
  <c r="K10"/>
  <c r="L10"/>
  <c r="K9"/>
  <c r="L9"/>
  <c r="K8"/>
  <c r="L8"/>
  <c r="K7"/>
  <c r="L7"/>
  <c r="K6"/>
  <c r="L6" s="1"/>
  <c r="N1"/>
  <c r="K1"/>
  <c r="G1"/>
  <c r="B1"/>
  <c r="G24" i="3"/>
  <c r="G23"/>
  <c r="D31" i="14"/>
  <c r="D30"/>
  <c r="D29"/>
  <c r="D28"/>
  <c r="D27"/>
  <c r="D26"/>
  <c r="D25"/>
  <c r="R1" i="3"/>
  <c r="O1"/>
  <c r="I1"/>
  <c r="C1"/>
  <c r="L41" i="2"/>
  <c r="M41"/>
  <c r="L39"/>
  <c r="M39"/>
  <c r="L38"/>
  <c r="M38"/>
  <c r="E42"/>
  <c r="L35"/>
  <c r="M35" s="1"/>
  <c r="J34"/>
  <c r="I34"/>
  <c r="H34"/>
  <c r="G34"/>
  <c r="F34"/>
  <c r="E34"/>
  <c r="L33"/>
  <c r="M33"/>
  <c r="L32"/>
  <c r="M32"/>
  <c r="L31"/>
  <c r="M31" s="1"/>
  <c r="L30"/>
  <c r="M30"/>
  <c r="L29"/>
  <c r="M29"/>
  <c r="L28"/>
  <c r="M28"/>
  <c r="L27"/>
  <c r="M27" s="1"/>
  <c r="L25"/>
  <c r="M25"/>
  <c r="L23"/>
  <c r="M23"/>
  <c r="J22"/>
  <c r="J42" s="1"/>
  <c r="I22"/>
  <c r="I42" s="1"/>
  <c r="H22"/>
  <c r="G22"/>
  <c r="F22"/>
  <c r="E22"/>
  <c r="L21"/>
  <c r="M21"/>
  <c r="L20"/>
  <c r="M20"/>
  <c r="L19"/>
  <c r="M19"/>
  <c r="L18"/>
  <c r="M18"/>
  <c r="L17"/>
  <c r="M17" s="1"/>
  <c r="L16"/>
  <c r="M16"/>
  <c r="L15"/>
  <c r="M15"/>
  <c r="L14"/>
  <c r="M14"/>
  <c r="L13"/>
  <c r="M13" s="1"/>
  <c r="L12"/>
  <c r="M12" s="1"/>
  <c r="L11"/>
  <c r="M11"/>
  <c r="L9"/>
  <c r="M9"/>
  <c r="L7"/>
  <c r="M7" s="1"/>
  <c r="M1"/>
  <c r="J1"/>
  <c r="G1"/>
  <c r="B1"/>
  <c r="J7" i="24"/>
  <c r="K1"/>
  <c r="H1"/>
  <c r="E1"/>
  <c r="B1"/>
  <c r="S34" i="16"/>
  <c r="I13" i="13" s="1"/>
  <c r="S33" i="16"/>
  <c r="P31"/>
  <c r="S27"/>
  <c r="Q22"/>
  <c r="N22"/>
  <c r="G15"/>
  <c r="G14"/>
  <c r="G13"/>
  <c r="N10"/>
  <c r="O9"/>
  <c r="O6"/>
  <c r="R2"/>
  <c r="H37" i="13" l="1"/>
  <c r="D10" i="14"/>
  <c r="D4" i="13"/>
  <c r="A4"/>
  <c r="L22" i="2"/>
  <c r="N37" i="14"/>
  <c r="D21" s="1"/>
  <c r="J37" i="7"/>
  <c r="D11" i="14"/>
  <c r="L19" i="5"/>
  <c r="C24" i="13" s="1"/>
  <c r="M9" i="5"/>
  <c r="L14" i="29"/>
  <c r="H55" i="13"/>
  <c r="H47"/>
  <c r="H52"/>
  <c r="F54"/>
  <c r="H45"/>
  <c r="H38"/>
  <c r="H42"/>
  <c r="F44"/>
  <c r="F41" i="14"/>
  <c r="H41" s="1"/>
  <c r="E83" i="30"/>
  <c r="AA139"/>
  <c r="C33"/>
  <c r="E34" s="1"/>
  <c r="I36"/>
  <c r="G35"/>
  <c r="D45" s="1"/>
  <c r="I29" i="28"/>
  <c r="I25"/>
  <c r="I27" s="1"/>
  <c r="AA15" i="30"/>
  <c r="J22" i="27"/>
  <c r="L24" i="28"/>
  <c r="L16"/>
  <c r="I16"/>
  <c r="Y151"/>
  <c r="Y153" s="1"/>
  <c r="O187"/>
  <c r="R188" s="1"/>
  <c r="R191" s="1"/>
  <c r="R192" s="1"/>
  <c r="R193" s="1"/>
  <c r="O186"/>
  <c r="E118" i="30"/>
  <c r="E122" s="1"/>
  <c r="I118"/>
  <c r="D44" i="13"/>
  <c r="L5" i="27"/>
  <c r="R228" i="28"/>
  <c r="C62" i="30" s="1"/>
  <c r="H66" s="1"/>
  <c r="R227" i="28"/>
  <c r="K111" i="30"/>
  <c r="K113" s="1"/>
  <c r="Y193" i="28"/>
  <c r="Y194" s="1"/>
  <c r="Y195" s="1"/>
  <c r="C116" i="30"/>
  <c r="K118" s="1"/>
  <c r="K122" s="1"/>
  <c r="G131" s="1"/>
  <c r="AA138"/>
  <c r="G154"/>
  <c r="G155" s="1"/>
  <c r="E154"/>
  <c r="E155" s="1"/>
  <c r="AA142"/>
  <c r="AA141"/>
  <c r="E84" s="1"/>
  <c r="E85" s="1"/>
  <c r="E91" s="1"/>
  <c r="G112"/>
  <c r="AA140"/>
  <c r="F9"/>
  <c r="F16" i="14"/>
  <c r="F17"/>
  <c r="H32" i="13"/>
  <c r="H44" s="1"/>
  <c r="R85" i="28"/>
  <c r="R89" s="1"/>
  <c r="L91" s="1"/>
  <c r="N91" s="1"/>
  <c r="H25" i="23"/>
  <c r="C6" i="14"/>
  <c r="D54" i="13"/>
  <c r="L34" i="2"/>
  <c r="E33" i="14"/>
  <c r="G55" i="13"/>
  <c r="I55" s="1"/>
  <c r="F56"/>
  <c r="AA166" i="30"/>
  <c r="I112" s="1"/>
  <c r="I113" s="1"/>
  <c r="O68" i="28"/>
  <c r="O72"/>
  <c r="O57"/>
  <c r="O74"/>
  <c r="K112" i="30"/>
  <c r="O59" i="28"/>
  <c r="O61"/>
  <c r="D56" i="13"/>
  <c r="I24" i="15"/>
  <c r="I25" s="1"/>
  <c r="I34" s="1"/>
  <c r="G47" i="13"/>
  <c r="F25" i="23"/>
  <c r="G42" i="13"/>
  <c r="G43"/>
  <c r="I43" s="1"/>
  <c r="H50"/>
  <c r="H54" s="1"/>
  <c r="G42" i="2"/>
  <c r="G56" i="13"/>
  <c r="G37"/>
  <c r="G57"/>
  <c r="I57" s="1"/>
  <c r="G45"/>
  <c r="G50"/>
  <c r="G36"/>
  <c r="I36" s="1"/>
  <c r="J20" i="23"/>
  <c r="G60" i="13"/>
  <c r="I60" s="1"/>
  <c r="H42" i="2"/>
  <c r="D34"/>
  <c r="G52" i="13"/>
  <c r="I52" s="1"/>
  <c r="K22" i="2"/>
  <c r="K14" i="19"/>
  <c r="G41" i="13"/>
  <c r="I41" s="1"/>
  <c r="F24" i="7"/>
  <c r="K34" i="2"/>
  <c r="G38" i="13"/>
  <c r="I38" s="1"/>
  <c r="I24" i="7"/>
  <c r="C11" i="14" s="1"/>
  <c r="D30" i="17"/>
  <c r="E44" i="13"/>
  <c r="C54"/>
  <c r="E54"/>
  <c r="G53"/>
  <c r="I53" s="1"/>
  <c r="D22" i="2"/>
  <c r="D18" i="17"/>
  <c r="G39" i="13"/>
  <c r="I39" s="1"/>
  <c r="D20" i="23"/>
  <c r="D25"/>
  <c r="L30" i="17"/>
  <c r="N30" s="1"/>
  <c r="F20" i="23"/>
  <c r="F44" i="7"/>
  <c r="C7" i="14" s="1"/>
  <c r="G58" i="13"/>
  <c r="I58" s="1"/>
  <c r="H20" i="23"/>
  <c r="J25"/>
  <c r="G51" i="13"/>
  <c r="I51" s="1"/>
  <c r="G32"/>
  <c r="G40"/>
  <c r="I40" s="1"/>
  <c r="C10" i="14"/>
  <c r="E35" i="29"/>
  <c r="D33"/>
  <c r="D38" s="1"/>
  <c r="E32"/>
  <c r="E18" i="14"/>
  <c r="F18" s="1"/>
  <c r="I36" i="7"/>
  <c r="C12" i="14" s="1"/>
  <c r="M37"/>
  <c r="C21" s="1"/>
  <c r="E16"/>
  <c r="E17"/>
  <c r="F36" i="7"/>
  <c r="D33" i="14"/>
  <c r="E19"/>
  <c r="E20"/>
  <c r="F20" s="1"/>
  <c r="E14"/>
  <c r="R102" i="28"/>
  <c r="K19" i="5"/>
  <c r="G49" i="13"/>
  <c r="I49" s="1"/>
  <c r="L18" i="17"/>
  <c r="N18" s="1"/>
  <c r="G34" i="13"/>
  <c r="I34" s="1"/>
  <c r="F42" i="2"/>
  <c r="C44" i="13"/>
  <c r="F6" i="15"/>
  <c r="F15" i="3"/>
  <c r="E15" i="14"/>
  <c r="I37" i="13" l="1"/>
  <c r="L42" i="2"/>
  <c r="C22" i="13" s="1"/>
  <c r="M22" i="2"/>
  <c r="F61" i="13"/>
  <c r="Q26" i="16"/>
  <c r="D13" i="14"/>
  <c r="E8" i="23"/>
  <c r="M19" i="5"/>
  <c r="M34" i="2"/>
  <c r="I47" i="13"/>
  <c r="I14" i="3"/>
  <c r="F33" i="14"/>
  <c r="I45" i="13"/>
  <c r="I42"/>
  <c r="O22" i="8"/>
  <c r="K16" i="27"/>
  <c r="L29" i="28"/>
  <c r="L25"/>
  <c r="L27" s="1"/>
  <c r="L21"/>
  <c r="L17"/>
  <c r="L19" s="1"/>
  <c r="I21"/>
  <c r="I17"/>
  <c r="I19" s="1"/>
  <c r="I122" i="30"/>
  <c r="G130" s="1"/>
  <c r="G134" s="1"/>
  <c r="G161" s="1"/>
  <c r="M113"/>
  <c r="G118"/>
  <c r="G122" s="1"/>
  <c r="E130" s="1"/>
  <c r="C118"/>
  <c r="I32" i="13"/>
  <c r="D61"/>
  <c r="C97" i="30"/>
  <c r="C99" s="1"/>
  <c r="E101" s="1"/>
  <c r="E103" s="1"/>
  <c r="J85" s="1"/>
  <c r="C102"/>
  <c r="J78"/>
  <c r="F46"/>
  <c r="G12"/>
  <c r="D44" s="1"/>
  <c r="H46"/>
  <c r="H12"/>
  <c r="F44" s="1"/>
  <c r="G9"/>
  <c r="H57"/>
  <c r="H67" s="1"/>
  <c r="D48"/>
  <c r="I12"/>
  <c r="H44" s="1"/>
  <c r="H9"/>
  <c r="F48"/>
  <c r="I13"/>
  <c r="I9"/>
  <c r="H48"/>
  <c r="H51"/>
  <c r="E143"/>
  <c r="E144" s="1"/>
  <c r="H53"/>
  <c r="D46"/>
  <c r="R236" i="28"/>
  <c r="L155" i="30"/>
  <c r="F12" i="14"/>
  <c r="I50" i="13"/>
  <c r="H56"/>
  <c r="I56" s="1"/>
  <c r="R91" i="28"/>
  <c r="R103" s="1"/>
  <c r="R105" s="1"/>
  <c r="J35" i="8" s="1"/>
  <c r="J55" s="1"/>
  <c r="I37" i="15"/>
  <c r="G18" i="19"/>
  <c r="H18" s="1"/>
  <c r="D42" i="2"/>
  <c r="S7" i="7"/>
  <c r="C61" i="13"/>
  <c r="E7" i="14"/>
  <c r="F7" s="1"/>
  <c r="C9"/>
  <c r="F9" s="1"/>
  <c r="K17" i="19"/>
  <c r="F37" i="7"/>
  <c r="E61" i="13"/>
  <c r="E12" i="14"/>
  <c r="E11"/>
  <c r="F11" s="1"/>
  <c r="D23" i="13"/>
  <c r="L16" i="29"/>
  <c r="S6" i="7"/>
  <c r="C8" i="14"/>
  <c r="F8" s="1"/>
  <c r="I37" i="7"/>
  <c r="E21" i="14"/>
  <c r="F21" s="1"/>
  <c r="G44" i="13"/>
  <c r="I44" s="1"/>
  <c r="G54"/>
  <c r="I54" s="1"/>
  <c r="D8" i="23"/>
  <c r="C13" i="14"/>
  <c r="E10"/>
  <c r="F10" s="1"/>
  <c r="Q25" i="16" l="1"/>
  <c r="G45" i="2"/>
  <c r="G4" i="14"/>
  <c r="D6"/>
  <c r="E6" s="1"/>
  <c r="M42" i="2"/>
  <c r="E134" i="30"/>
  <c r="E161" s="1"/>
  <c r="L161" s="1"/>
  <c r="M130"/>
  <c r="H14" i="8" s="1"/>
  <c r="H17" s="1"/>
  <c r="N15" s="1"/>
  <c r="M122" i="30"/>
  <c r="J76"/>
  <c r="J79" s="1"/>
  <c r="J83"/>
  <c r="J86" s="1"/>
  <c r="G142"/>
  <c r="G143"/>
  <c r="H61" i="13"/>
  <c r="E9" i="14"/>
  <c r="S25" i="16"/>
  <c r="D22" i="13"/>
  <c r="E8" i="14"/>
  <c r="E13"/>
  <c r="F13" s="1"/>
  <c r="G61" i="13"/>
  <c r="T25" i="16" l="1"/>
  <c r="F6" i="14"/>
  <c r="M17" i="8"/>
  <c r="M134" i="30"/>
  <c r="I142"/>
  <c r="L142" s="1"/>
  <c r="E160" s="1"/>
  <c r="J88"/>
  <c r="I143"/>
  <c r="R109" i="28" s="1"/>
  <c r="R110" s="1"/>
  <c r="O112" s="1"/>
  <c r="R116" s="1"/>
  <c r="H10" i="8"/>
  <c r="S13" i="16" s="1"/>
  <c r="I61" i="13"/>
  <c r="M10" i="8" l="1"/>
  <c r="M57" s="1"/>
  <c r="K30" i="19" s="1"/>
  <c r="K32" s="1"/>
  <c r="D24" i="13" s="1"/>
  <c r="L143" i="30"/>
  <c r="G160" s="1"/>
  <c r="G162" s="1"/>
  <c r="G163" s="1"/>
  <c r="G164" s="1"/>
  <c r="N9" i="8"/>
  <c r="O8" i="16"/>
  <c r="E162" i="30"/>
  <c r="F21" i="5" l="1"/>
  <c r="S26" i="16"/>
  <c r="S28" s="1"/>
  <c r="L160" i="30"/>
  <c r="L144"/>
  <c r="E163"/>
  <c r="L162"/>
  <c r="T26" i="16" l="1"/>
  <c r="L163" i="30"/>
  <c r="E164"/>
  <c r="O41" i="28" l="1"/>
  <c r="L164" i="30"/>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xmlns:xda="http://schemas.microsoft.com/office/spreadsheetml/2017/dynamicarray">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<sst xmlns="http://schemas.openxmlformats.org/spreadsheetml/2006/main" count="2845" uniqueCount="1400">
  <si>
    <t>DISTRICT NAME</t>
  </si>
  <si>
    <t>COUNTY</t>
  </si>
  <si>
    <t xml:space="preserve"> CTD NUMBER</t>
  </si>
  <si>
    <t>FY</t>
  </si>
  <si>
    <t>REVENUES AND PROPERTY TAXATION</t>
  </si>
  <si>
    <t xml:space="preserve"> STATE OF ARIZONA</t>
  </si>
  <si>
    <t>1.</t>
  </si>
  <si>
    <t>Total Budgeted Revenues for Fiscal Year 2023                          $</t>
  </si>
  <si>
    <t xml:space="preserve">    SCHOOL DISTRICT ANNUAL EXPENDITURE BUDGET</t>
  </si>
  <si>
    <t>2.</t>
  </si>
  <si>
    <t>Estimated Revenues by Source for Fiscal Year 2024 (excluding property taxes)</t>
  </si>
  <si>
    <t>DISTRICTWIDE BUDGET</t>
  </si>
  <si>
    <t xml:space="preserve">  Local</t>
  </si>
  <si>
    <t xml:space="preserve">1000    $ </t>
  </si>
  <si>
    <t xml:space="preserve">  Intermediate</t>
  </si>
  <si>
    <t xml:space="preserve">2000    $ </t>
  </si>
  <si>
    <t xml:space="preserve">  State</t>
  </si>
  <si>
    <t xml:space="preserve">3000    $ </t>
  </si>
  <si>
    <t>Version</t>
  </si>
  <si>
    <t xml:space="preserve">  Federal</t>
  </si>
  <si>
    <t xml:space="preserve">4000    $ </t>
  </si>
  <si>
    <t>BY THE GOVERNING BOARD</t>
  </si>
  <si>
    <t xml:space="preserve">  TOTAL</t>
  </si>
  <si>
    <t xml:space="preserve">$ </t>
  </si>
  <si>
    <t>3.</t>
  </si>
  <si>
    <t>District Tax Rates for Prior and Budget Fiscal Years (A.R.S. §15-903.D.4)</t>
  </si>
  <si>
    <t>We hereby certify that the Budget for the Fiscal Year 2024 was</t>
  </si>
  <si>
    <t>Prior FY 2023</t>
  </si>
  <si>
    <t>Est. Budget FY 2024</t>
  </si>
  <si>
    <t xml:space="preserve">     Proposed</t>
  </si>
  <si>
    <t xml:space="preserve">Primary Tax Rate:               </t>
  </si>
  <si>
    <t xml:space="preserve">     Adopted</t>
  </si>
  <si>
    <t xml:space="preserve">Secondary Tax Rates:           </t>
  </si>
  <si>
    <t xml:space="preserve">     Revised</t>
  </si>
  <si>
    <t xml:space="preserve">   M&amp;O Override</t>
  </si>
  <si>
    <t>Date</t>
  </si>
  <si>
    <t xml:space="preserve">   Special Program Override</t>
  </si>
  <si>
    <t xml:space="preserve">   Capital Override</t>
  </si>
  <si>
    <t xml:space="preserve">   Class A Bonds</t>
  </si>
  <si>
    <t xml:space="preserve">   Class B Bonds</t>
  </si>
  <si>
    <t xml:space="preserve">   CTED</t>
  </si>
  <si>
    <t xml:space="preserve">   Desegregation</t>
  </si>
  <si>
    <t>Total Secondary Tax Rate</t>
  </si>
  <si>
    <t>TOTAL BUDGETED EXPENDITURES AND AGGREGATE SCHOOL DISTRICT BUDGET LIMIT (A.R.S. §15-905.H)</t>
  </si>
  <si>
    <t>Budgeted Expenditures</t>
  </si>
  <si>
    <t>Budget Limit</t>
  </si>
  <si>
    <t>Maintenance and Operation Fund (from pages 1, line 30 and 7, line 11)</t>
  </si>
  <si>
    <t>SIGNED</t>
  </si>
  <si>
    <t>Unrestricted Capital Fund (from pages 4, line 10 and 8, line 12)</t>
  </si>
  <si>
    <t>Federal Projects Other Than Impact Aid (from Budget, page 6, Federal Projects, line 18 minus line 16)</t>
  </si>
  <si>
    <t xml:space="preserve">The FY 2024 budget file for the version described above will be uploaded via  </t>
  </si>
  <si>
    <t>4.</t>
  </si>
  <si>
    <t>Total Aggregate School District Budget Limit (sum of lines 1 through 3)</t>
  </si>
  <si>
    <t xml:space="preserve"> </t>
  </si>
  <si>
    <t xml:space="preserve">the School Finance Budget System on ADE’s website by  </t>
  </si>
  <si>
    <t>.</t>
  </si>
  <si>
    <t>Type the Date as MM/DD/YYYY</t>
  </si>
  <si>
    <t>AVERAGE TEACHER SALARIES (A.R.S. §15-903.E)</t>
  </si>
  <si>
    <t>Average salary of all teachers employed in FY 2024 (budget year)</t>
  </si>
  <si>
    <t>Average salary of all teachers employed in FY 2023 (prior year)</t>
  </si>
  <si>
    <t>Check this box if your district has no teachers 
(transporting districts and some CTEDs).</t>
  </si>
  <si>
    <t>Superintendent Signature</t>
  </si>
  <si>
    <t>Business Manager Signature</t>
  </si>
  <si>
    <t>Increase in average teacher salary from the prior year</t>
  </si>
  <si>
    <t xml:space="preserve">Percentage increase </t>
  </si>
  <si>
    <t xml:space="preserve">Comments on average salary calculation (Optional): </t>
  </si>
  <si>
    <t>Superintendent Name (Typed Name)</t>
  </si>
  <si>
    <t>Business Manager Name (Typed Name)</t>
  </si>
  <si>
    <t>District Contact Employee:</t>
  </si>
  <si>
    <t>Telephone:</t>
  </si>
  <si>
    <t>Email:</t>
  </si>
  <si>
    <t xml:space="preserve">DISTRICT NAME </t>
  </si>
  <si>
    <t xml:space="preserve">COUNTY </t>
  </si>
  <si>
    <t xml:space="preserve">CTD NUMBER </t>
  </si>
  <si>
    <t>VERSION</t>
  </si>
  <si>
    <t>Dr.</t>
  </si>
  <si>
    <t>Mr.</t>
  </si>
  <si>
    <t>Miss</t>
  </si>
  <si>
    <t xml:space="preserve">Mrs. </t>
  </si>
  <si>
    <t>Ms.</t>
  </si>
  <si>
    <t>CPA</t>
  </si>
  <si>
    <t>Ed.D</t>
  </si>
  <si>
    <t>II</t>
  </si>
  <si>
    <t>III</t>
  </si>
  <si>
    <t>IV</t>
  </si>
  <si>
    <t>J.D.</t>
  </si>
  <si>
    <t>Jr.</t>
  </si>
  <si>
    <t>Ph.D.</t>
  </si>
  <si>
    <t>Sr.</t>
  </si>
  <si>
    <t>DISTRICT CONTACT INFORMATION</t>
  </si>
  <si>
    <t>AZ Dept of Juvenile Corrections (AZDJC)</t>
  </si>
  <si>
    <t>Infinite Visions</t>
  </si>
  <si>
    <t>BocaVox (Maestro)</t>
  </si>
  <si>
    <t>Munis</t>
  </si>
  <si>
    <t>Prefix</t>
  </si>
  <si>
    <t>First Name</t>
  </si>
  <si>
    <t>Last Name</t>
  </si>
  <si>
    <t>Email Address</t>
  </si>
  <si>
    <t>Telephone Number</t>
  </si>
  <si>
    <t>Extension</t>
  </si>
  <si>
    <t>Edupoint (Synergy)</t>
  </si>
  <si>
    <t>PowerSchool BusinessPlus</t>
  </si>
  <si>
    <t>Superintendent</t>
  </si>
  <si>
    <t>Edupoint (Edupoint)</t>
  </si>
  <si>
    <t>Other, please add at right</t>
  </si>
  <si>
    <t>Executive Assistant to Superintendent</t>
  </si>
  <si>
    <t>Hane Solutions (SchoolDex)</t>
  </si>
  <si>
    <t>Chief Financial Officer</t>
  </si>
  <si>
    <t>InfiniteCampus (InfiniteCampus)</t>
  </si>
  <si>
    <t>Business Manager 1</t>
  </si>
  <si>
    <t>JupiterEd (JupiterEd)</t>
  </si>
  <si>
    <t>Business Manager 2</t>
  </si>
  <si>
    <t>MediaNet Solutions (e-IEP PRO)</t>
  </si>
  <si>
    <t>Business Consultant</t>
  </si>
  <si>
    <t>Mesa Distance Learning Program (MDLP)</t>
  </si>
  <si>
    <t>School District Employee Report (SDER) Coordinator</t>
  </si>
  <si>
    <t>Pearson (Connexus)</t>
  </si>
  <si>
    <t>SPED Data Reporting Coordinator</t>
  </si>
  <si>
    <t>PowerSchool (PowerSchool)</t>
  </si>
  <si>
    <t>AzEDS/ADM Data Coordinator</t>
  </si>
  <si>
    <t>Strongmind (Strongmind)</t>
  </si>
  <si>
    <t>Transportation Data Reporting Coordinator</t>
  </si>
  <si>
    <t>Tyler Technologies (Schoolmaster)</t>
  </si>
  <si>
    <t>CTE Coordinator</t>
  </si>
  <si>
    <t>Tyler Technologies (Tyler SIS v10)</t>
  </si>
  <si>
    <t>Poverty Coordinator</t>
  </si>
  <si>
    <t>FOCUS School Software LLC</t>
  </si>
  <si>
    <t>Assessments Coordinator</t>
  </si>
  <si>
    <t>Curriculum Coordinator</t>
  </si>
  <si>
    <t>Information Technology (IT) Director</t>
  </si>
  <si>
    <t>Bookstore Manager</t>
  </si>
  <si>
    <t>Governing Board Member</t>
  </si>
  <si>
    <t>SELECT from Dropdown</t>
  </si>
  <si>
    <t xml:space="preserve">Student Information Systems (SIS) Vendor </t>
  </si>
  <si>
    <t>Accounting Information System</t>
  </si>
  <si>
    <t>Bookstore Cash Receipting System</t>
  </si>
  <si>
    <t>District's website home page address</t>
  </si>
  <si>
    <t>FUND 001 (M&amp;O)</t>
  </si>
  <si>
    <t>MAINTENANCE AND OPERATION (M&amp;O) FUND</t>
  </si>
  <si>
    <t>Employee</t>
  </si>
  <si>
    <t>Purchased</t>
  </si>
  <si>
    <t>Totals</t>
  </si>
  <si>
    <t>FTE</t>
  </si>
  <si>
    <t>Salaries</t>
  </si>
  <si>
    <t>Benefits</t>
  </si>
  <si>
    <t>Services</t>
  </si>
  <si>
    <t>Supplies</t>
  </si>
  <si>
    <t>Other</t>
  </si>
  <si>
    <t>Prior</t>
  </si>
  <si>
    <t>Budget</t>
  </si>
  <si>
    <t>%</t>
  </si>
  <si>
    <t>Expenditures</t>
  </si>
  <si>
    <t>6300, 6400,</t>
  </si>
  <si>
    <t>Increase/</t>
  </si>
  <si>
    <t>6100</t>
  </si>
  <si>
    <t>6200</t>
  </si>
  <si>
    <t>6500</t>
  </si>
  <si>
    <t>6800</t>
  </si>
  <si>
    <t>Decrease</t>
  </si>
  <si>
    <t>100 Regular Education</t>
  </si>
  <si>
    <t xml:space="preserve">   1000 Instruction</t>
  </si>
  <si>
    <t xml:space="preserve">   2000 Support Services</t>
  </si>
  <si>
    <t xml:space="preserve">      2100 Students</t>
  </si>
  <si>
    <t xml:space="preserve">      2200 Instructional Staff</t>
  </si>
  <si>
    <t xml:space="preserve">      2300 General Administration</t>
  </si>
  <si>
    <t xml:space="preserve">      2400 School Administration</t>
  </si>
  <si>
    <t>5.</t>
  </si>
  <si>
    <t xml:space="preserve">      2500 Central Services</t>
  </si>
  <si>
    <t>6.</t>
  </si>
  <si>
    <t xml:space="preserve">      2600 Operation &amp; Maintenance of Plant</t>
  </si>
  <si>
    <t>7.</t>
  </si>
  <si>
    <t xml:space="preserve">      2900 Other</t>
  </si>
  <si>
    <t>8.</t>
  </si>
  <si>
    <t xml:space="preserve">   3000 Operation of Noninstructional Services</t>
  </si>
  <si>
    <t>9.</t>
  </si>
  <si>
    <t>610 School-Sponsored Cocurricular Activities</t>
  </si>
  <si>
    <t>10.</t>
  </si>
  <si>
    <t>620 School-Sponsored Athletics</t>
  </si>
  <si>
    <t>11.</t>
  </si>
  <si>
    <t>630 Other Instructional Programs</t>
  </si>
  <si>
    <t>12.</t>
  </si>
  <si>
    <t>700, 800, 900 Other Programs</t>
  </si>
  <si>
    <t>13.</t>
  </si>
  <si>
    <t xml:space="preserve">   Regular Education Subsection Subtotal (lines 1-13)</t>
  </si>
  <si>
    <t>14.</t>
  </si>
  <si>
    <t>200 and 300 Special Education</t>
  </si>
  <si>
    <t>15.</t>
  </si>
  <si>
    <t>16.</t>
  </si>
  <si>
    <t>17.</t>
  </si>
  <si>
    <t>18.</t>
  </si>
  <si>
    <t>19.</t>
  </si>
  <si>
    <t>20.</t>
  </si>
  <si>
    <t>21.</t>
  </si>
  <si>
    <t>22.</t>
  </si>
  <si>
    <t>23.</t>
  </si>
  <si>
    <t xml:space="preserve">   Subtotal (lines 15-23)  </t>
  </si>
  <si>
    <t>24.</t>
  </si>
  <si>
    <t>400 Pupil Transportation</t>
  </si>
  <si>
    <t>25.</t>
  </si>
  <si>
    <t>510 Desegregation (from Districtwide Desegregation</t>
  </si>
  <si>
    <t xml:space="preserve">    Budget, page 2, line 44)</t>
  </si>
  <si>
    <t>26.</t>
  </si>
  <si>
    <t>530 Dropout Prevention Programs</t>
  </si>
  <si>
    <t>27.</t>
  </si>
  <si>
    <t>540 Joint Career and Technical Education and Vocational</t>
  </si>
  <si>
    <t xml:space="preserve">    Education Center </t>
  </si>
  <si>
    <t>28.</t>
  </si>
  <si>
    <t>550 K-3 Reading Program</t>
  </si>
  <si>
    <t>29.</t>
  </si>
  <si>
    <t xml:space="preserve">    Total Expenditures (lines 14, and 24-29)</t>
  </si>
  <si>
    <t xml:space="preserve">    (Cannot exceed page 7, line 11)</t>
  </si>
  <si>
    <t>30.</t>
  </si>
  <si>
    <t xml:space="preserve">          </t>
  </si>
  <si>
    <t>SPECIAL EDUCATION PROGRAMS BY TYPE (M&amp;O Fund Programs 200 and 300)</t>
  </si>
  <si>
    <r>
      <t>(A.R.S. §</t>
    </r>
    <r>
      <rPr>
        <sz val="10"/>
        <rFont val="Calibri"/>
        <family val="2"/>
      </rPr>
      <t>§</t>
    </r>
    <r>
      <rPr>
        <sz val="10"/>
        <rFont val="Times New Roman"/>
        <family val="1"/>
      </rPr>
      <t xml:space="preserve"> 15-761 and 15-903)</t>
    </r>
  </si>
  <si>
    <t>Prior FY</t>
  </si>
  <si>
    <t>Budget FY</t>
  </si>
  <si>
    <t>Total All Disability Classifications</t>
  </si>
  <si>
    <t>Expenditures Budgeted for Audit Services</t>
  </si>
  <si>
    <t>Gifted Education</t>
  </si>
  <si>
    <t>M&amp;O Fund - Nonfederal</t>
  </si>
  <si>
    <t>Remedial Education</t>
  </si>
  <si>
    <t>All Funds - Federal</t>
  </si>
  <si>
    <t>ELL Incremental Costs</t>
  </si>
  <si>
    <t>ELL Compensatory Instruction</t>
  </si>
  <si>
    <t>Vocational and Technical Education (non-CTED)</t>
  </si>
  <si>
    <t xml:space="preserve">FY 2024 Performance Pay (A.R.S. §15-920) </t>
  </si>
  <si>
    <t>Career Education (non-CTED)</t>
  </si>
  <si>
    <t>Amount Budgeted in M&amp;O Fund for a Performance Pay Component</t>
  </si>
  <si>
    <t>Career Technical Education (CTED)</t>
  </si>
  <si>
    <t>Total (lines 1 through 8.  Must equal</t>
  </si>
  <si>
    <r>
      <t xml:space="preserve">Do </t>
    </r>
    <r>
      <rPr>
        <u/>
        <sz val="10"/>
        <rFont val="Times New Roman"/>
        <family val="1"/>
      </rPr>
      <t>not</t>
    </r>
    <r>
      <rPr>
        <sz val="10"/>
        <rFont val="Times New Roman"/>
        <family val="1"/>
      </rPr>
      <t xml:space="preserve"> report budgeted amounts for the Performance Pay Component of the Classroom Site Fund on this line.</t>
    </r>
  </si>
  <si>
    <t>total of line 24, page 1)</t>
  </si>
  <si>
    <t>IEP required pupil transportation costs</t>
  </si>
  <si>
    <t>Expenditures Budgeted in the M&amp;O Fund for Food Service</t>
  </si>
  <si>
    <t>coded within Program 400</t>
  </si>
  <si>
    <t>Amount budgeted in M&amp;O for Food Service (Fund 001, Function 3100)</t>
  </si>
  <si>
    <t>(This amount will be used to determine district compliance with state matching</t>
  </si>
  <si>
    <t>requirements pursuant to Code of Federal Regulations (CFR) Title 7, §210.17(a)]</t>
  </si>
  <si>
    <t>Proposed Ratios for Special Education</t>
  </si>
  <si>
    <t>(A.R.S. §§15-903.E.1 and 15-764.A.5)</t>
  </si>
  <si>
    <t>Teacher-Pupil 1 to</t>
  </si>
  <si>
    <t>Staff-Pupil  1 to</t>
  </si>
  <si>
    <t>Estimated FTE Certified Employees</t>
  </si>
  <si>
    <t>(A.R.S. §15-903.E.2)</t>
  </si>
  <si>
    <t>Number of FTE - Certified Employees</t>
  </si>
  <si>
    <t>Number of FTE - Certified Purchased Services Personnel</t>
  </si>
  <si>
    <t>FUND 010 (CSF)</t>
  </si>
  <si>
    <t>CLASSROOM SITE FUND (CSF) AND CSF BUDGET LIMIT (A.R.S. §§ 15-977 and 15-978)</t>
  </si>
  <si>
    <t>Debt Service</t>
  </si>
  <si>
    <t>Employee Benefits</t>
  </si>
  <si>
    <t>Purchased Services</t>
  </si>
  <si>
    <t>Property</t>
  </si>
  <si>
    <t>and Miscellaneous</t>
  </si>
  <si>
    <t>6300, 6400, 6500</t>
  </si>
  <si>
    <t xml:space="preserve">     1000 Instruction</t>
  </si>
  <si>
    <t xml:space="preserve">     2100 Support Services - Students</t>
  </si>
  <si>
    <t xml:space="preserve">     2200 Support Services - Instructional Staff</t>
  </si>
  <si>
    <t xml:space="preserve">     2300 Support Services - General Administration</t>
  </si>
  <si>
    <t xml:space="preserve">     2500 Central Services</t>
  </si>
  <si>
    <t xml:space="preserve">     3300 Community Services Operations </t>
  </si>
  <si>
    <t xml:space="preserve">     4000 Facilities Acquisition and Construction</t>
  </si>
  <si>
    <t xml:space="preserve">     5000 Debt Service </t>
  </si>
  <si>
    <t>Total Expenditures (lines 1-8)</t>
  </si>
  <si>
    <t>Classroom Site Fund Budget Limit Calculation</t>
  </si>
  <si>
    <t>FY 2023 Classroom Site Fund Budget Limit (from FY 2023 latest revised Budget, page 3, line 16)</t>
  </si>
  <si>
    <t>FY 2023 Actual Expenditures (For budget adoption use actual expenditures to date plus estimated expenditures through fiscal year-end.)</t>
  </si>
  <si>
    <t>Unexpended Budget Balance (line 10 minus 11)</t>
  </si>
  <si>
    <t>Interest Earned in the Classroom Site Fund in FY 2023</t>
  </si>
  <si>
    <t>FY 2024 Classroom Site Fund Allocation (provided by ADE, based on $758)</t>
  </si>
  <si>
    <t>Adjustments to FY 2024 Classroom Site Fund Budget Limit (1)</t>
  </si>
  <si>
    <t>FY 2024 Classroom Site Fund Budget Limit (Sum of lines 10 through 15) (2)</t>
  </si>
  <si>
    <t xml:space="preserve">(1) This line may be used to recapture lost CSF budget capacity that resulted from underbudgeting in prior fiscal years. </t>
  </si>
  <si>
    <t>(2) The amounts budgeted on line 7 cannot exceed the respective amounts on this line.</t>
  </si>
  <si>
    <t>FUND 610 (UCO)</t>
  </si>
  <si>
    <t>UNRESTRICTED CAPITAL OUTLAY (UCO) FUND</t>
  </si>
  <si>
    <t>Rentals</t>
  </si>
  <si>
    <t xml:space="preserve">Library Books, Textbooks, </t>
  </si>
  <si>
    <t>Property (2)</t>
  </si>
  <si>
    <t>Redemption of Principal (3)</t>
  </si>
  <si>
    <t>Interest (4)</t>
  </si>
  <si>
    <t xml:space="preserve"> &amp; Instructional</t>
  </si>
  <si>
    <t>All Other</t>
  </si>
  <si>
    <t>Aids (2)</t>
  </si>
  <si>
    <t>Object Codes</t>
  </si>
  <si>
    <t>6641-6643</t>
  </si>
  <si>
    <t>6831, 6832, 6833</t>
  </si>
  <si>
    <t>6841, 6842, 6843, 6850</t>
  </si>
  <si>
    <t>(excluding 6900)</t>
  </si>
  <si>
    <t>Unrestricted Capital Outlay Override  (1)</t>
  </si>
  <si>
    <t>Unrestricted Capital Outlay Fund 610 (6)</t>
  </si>
  <si>
    <t xml:space="preserve">        1000  Instruction</t>
  </si>
  <si>
    <t xml:space="preserve">        2000  Support Services</t>
  </si>
  <si>
    <t xml:space="preserve">            2100, 2200  Students and Instructional Staff</t>
  </si>
  <si>
    <t xml:space="preserve">            2300, 2400, 2500, 2900  Administration</t>
  </si>
  <si>
    <t xml:space="preserve">            2600  Operation &amp; Maintenance of Plant</t>
  </si>
  <si>
    <t xml:space="preserve">            2700  Student Transportation</t>
  </si>
  <si>
    <t xml:space="preserve">        3000  Operation of Noninstructional Services (5)</t>
  </si>
  <si>
    <t xml:space="preserve">        4000  Facilities Acquisition and Construction</t>
  </si>
  <si>
    <t xml:space="preserve">        5000  Debt Service</t>
  </si>
  <si>
    <t xml:space="preserve">  Total Unrestricted Capital Outlay Fund (lines 2-9) </t>
  </si>
  <si>
    <t>(1)    Amounts in the Unrestricted Capital Outlay Override line 1 above must be included in the appropriate individual line items for Fund 610 and in the Budget Year Total Column.</t>
  </si>
  <si>
    <t>(5)</t>
  </si>
  <si>
    <t>Expenditures Budgeted in Unrestricted Capital Outlay (UCO) Fund for Food Service</t>
  </si>
  <si>
    <t xml:space="preserve">Enter the amount budgeted in UCO for Food Service [Amount will be used to determine district </t>
  </si>
  <si>
    <t>compliance with state matching requirements pursuant to CFR Title 7, §210.17(a)]</t>
  </si>
  <si>
    <t>(2)    Detail by object code:</t>
  </si>
  <si>
    <t>Unrestricted Capital Outlay</t>
  </si>
  <si>
    <t>6641 Library Books</t>
  </si>
  <si>
    <t>(6)</t>
  </si>
  <si>
    <r>
      <t xml:space="preserve">Expenditures, if any, budgeted in the Unrestricted Capital Outlay Fund on lines </t>
    </r>
    <r>
      <rPr>
        <sz val="9"/>
        <color indexed="8"/>
        <rFont val="Times New Roman"/>
        <family val="1"/>
      </rPr>
      <t xml:space="preserve">2-9 for </t>
    </r>
    <r>
      <rPr>
        <sz val="9"/>
        <rFont val="Times New Roman"/>
        <family val="1"/>
      </rPr>
      <t>the K-3 Reading Program as described in A.R.S. §15-211.</t>
    </r>
  </si>
  <si>
    <t>6642 Textbooks</t>
  </si>
  <si>
    <t>6643 Instructional Aids</t>
  </si>
  <si>
    <t xml:space="preserve">673X Furniture and Equipment </t>
  </si>
  <si>
    <t>673X Vehicles</t>
  </si>
  <si>
    <t>673X Tech Hardware &amp; Software</t>
  </si>
  <si>
    <t xml:space="preserve">(3)    Includes principal on Capital Equity Fund loans of </t>
  </si>
  <si>
    <t>, principal on leases of</t>
  </si>
  <si>
    <t>, and principal on bonds of</t>
  </si>
  <si>
    <t xml:space="preserve">(4)    Includes interest on Capital Equity Fund loans of </t>
  </si>
  <si>
    <t>, interest on leases of</t>
  </si>
  <si>
    <t>, and interest on bonds of</t>
  </si>
  <si>
    <t>OTHER FUNDS—REQUIRED CAPITAL EXPENDITURE DETAIL [(A.R.S. §15-904.(B)]</t>
  </si>
  <si>
    <t>UNRESTRICTED CAPITAL OUTLAY</t>
  </si>
  <si>
    <t>BOND BUILDING</t>
  </si>
  <si>
    <t>NEW SCHOOL FACILITIES</t>
  </si>
  <si>
    <t>ADJACENT WAYS</t>
  </si>
  <si>
    <t>Fund 610</t>
  </si>
  <si>
    <t>Fund 630</t>
  </si>
  <si>
    <t>Fund 695</t>
  </si>
  <si>
    <t>Fund 620 (2)</t>
  </si>
  <si>
    <t>Total Fund Expenditures</t>
  </si>
  <si>
    <t>Select Object Codes Detail (1)</t>
  </si>
  <si>
    <t xml:space="preserve">        6150 Classified Salaries</t>
  </si>
  <si>
    <t xml:space="preserve">        6200 Employee Benefits</t>
  </si>
  <si>
    <t xml:space="preserve">        6450 Construction Services</t>
  </si>
  <si>
    <t xml:space="preserve">        6710 Land and Improvements</t>
  </si>
  <si>
    <t xml:space="preserve">        6720 Buildings and Improvements</t>
  </si>
  <si>
    <t xml:space="preserve">        673X Furniture and Equipment</t>
  </si>
  <si>
    <t xml:space="preserve">        673X Vehicles </t>
  </si>
  <si>
    <t xml:space="preserve">        673X Technology Hardware &amp; Software</t>
  </si>
  <si>
    <t xml:space="preserve">        6831, 6832, 6833 Redemption of Principal</t>
  </si>
  <si>
    <t xml:space="preserve">        6841, 6842, 6843, 6850, 6860 Interest and Debt-Issuance Costs</t>
  </si>
  <si>
    <t xml:space="preserve">        Total (lines 2-11)</t>
  </si>
  <si>
    <t>Total amounts reported on lines 2-11 above for:</t>
  </si>
  <si>
    <t xml:space="preserve">       Renovation</t>
  </si>
  <si>
    <t xml:space="preserve">       New Construction</t>
  </si>
  <si>
    <t xml:space="preserve">       Other</t>
  </si>
  <si>
    <t xml:space="preserve">       Total (lines 13-15, must equal line 12)</t>
  </si>
  <si>
    <t>(1) Lines 2-11 may not include all budgeted expenditures of the fund. Total budgeted expenditures for each fund should be included on Line 1.</t>
  </si>
  <si>
    <t>(2) Amount budgeted on line 1 for the Adjacent Ways Fund that will result in a tax levy in FY 2024</t>
  </si>
  <si>
    <t>SPECIAL PROJECTS</t>
  </si>
  <si>
    <t>OTHER FUNDS EXPENDITURES</t>
  </si>
  <si>
    <t>TOTAL ALL FUNCTIONS</t>
  </si>
  <si>
    <t>050  County, City, and Town Grants</t>
  </si>
  <si>
    <t>FEDERAL PROJECTS FTE &amp; EXPENDITURES</t>
  </si>
  <si>
    <t>071   English Language Learner  (1)</t>
  </si>
  <si>
    <t>100-130 ESEA Title I - Helping Disadvantaged Children</t>
  </si>
  <si>
    <t>072  Compensatory Instruction (1)</t>
  </si>
  <si>
    <t>140-150 ESEA Title II - Prof. Dev. and Technology</t>
  </si>
  <si>
    <t>500  School Plant  (2)</t>
  </si>
  <si>
    <t>160 ESEA Title IV - 21st Century Schools</t>
  </si>
  <si>
    <t>510  Food Service</t>
  </si>
  <si>
    <t>170-180 ESEA Title V - Promote Informed Parent Choice</t>
  </si>
  <si>
    <t>515  Civic Center</t>
  </si>
  <si>
    <t>190 ESEA Title III - Limited Eng. &amp; Immigrant Students</t>
  </si>
  <si>
    <t>520  Community School</t>
  </si>
  <si>
    <t>200 ESEA Title VII - Indian Education</t>
  </si>
  <si>
    <t>525  Auxiliary Operations</t>
  </si>
  <si>
    <t>210 ESEA Title VI - Flexibility and Accountability</t>
  </si>
  <si>
    <t>526  Extracurricular Activities Fees Tax Credit</t>
  </si>
  <si>
    <t>220 IDEA Part B</t>
  </si>
  <si>
    <t>530  Gifts and Donations</t>
  </si>
  <si>
    <t>230 Johnson-O'Malley</t>
  </si>
  <si>
    <t>535  Career &amp; Technical Education Projects</t>
  </si>
  <si>
    <t>240 Workforce Investment Act</t>
  </si>
  <si>
    <t>540  Fingerprint</t>
  </si>
  <si>
    <t>250 AEA -  Adult Education</t>
  </si>
  <si>
    <t>545  School Opening</t>
  </si>
  <si>
    <t>260-270 Vocational Education - Basic Grants</t>
  </si>
  <si>
    <t>550  Insurance Proceeds</t>
  </si>
  <si>
    <t>280 ESEA Title X - Homeless Education</t>
  </si>
  <si>
    <t>555  Textbooks</t>
  </si>
  <si>
    <t>290 Medicaid Reimbursement</t>
  </si>
  <si>
    <t>565  Litigation Recovery</t>
  </si>
  <si>
    <t>374 E-Rate</t>
  </si>
  <si>
    <t>570  Indirect Costs</t>
  </si>
  <si>
    <t>378 Impact Aid</t>
  </si>
  <si>
    <t>575  Unemployment Insurance</t>
  </si>
  <si>
    <t>300-399 Other Federal Projects (Besides E-Rate &amp; Impact Aid)</t>
  </si>
  <si>
    <t>580  Teacherage</t>
  </si>
  <si>
    <t>Total Federal Project Funds (lines 1-17)</t>
  </si>
  <si>
    <t>585  Insurance Refund</t>
  </si>
  <si>
    <t>STATE PROJECTS FTE &amp; EXPENDITURES</t>
  </si>
  <si>
    <t>590  Grants and Gifts to Teachers</t>
  </si>
  <si>
    <t>400 Vocational Education</t>
  </si>
  <si>
    <t>595  Advertisement</t>
  </si>
  <si>
    <t>410 Early Childhood Block Grant</t>
  </si>
  <si>
    <t>596  Career Technical Education</t>
  </si>
  <si>
    <t>420 Ext. School Yr. - Pupils with Disabilities</t>
  </si>
  <si>
    <t>597  Arizona Industry Credentials Incentive</t>
  </si>
  <si>
    <t>425 Adult Basic Education</t>
  </si>
  <si>
    <t>639  Impact Aid Revenue Bond Building</t>
  </si>
  <si>
    <t>430 Chemical Abuse Prevention Programs</t>
  </si>
  <si>
    <t>650  Gifts and Donations-Capital</t>
  </si>
  <si>
    <t>435 Academic Contests</t>
  </si>
  <si>
    <t>660  Condemnation</t>
  </si>
  <si>
    <t>450 Gifted Education</t>
  </si>
  <si>
    <t>665  Energy and Water Savings</t>
  </si>
  <si>
    <t>456 College Credit Exam Incentives</t>
  </si>
  <si>
    <t>686  Emergency Deficiencies Correction</t>
  </si>
  <si>
    <t>460 Environmental Special Plate</t>
  </si>
  <si>
    <t>691  Building Renewal Grant</t>
  </si>
  <si>
    <t>Other State Projects</t>
  </si>
  <si>
    <t>31.</t>
  </si>
  <si>
    <t>700  Debt Service</t>
  </si>
  <si>
    <t>Total State Project Funds (lines 19-28)</t>
  </si>
  <si>
    <t>32.</t>
  </si>
  <si>
    <t>720  Impact Aid Revenue Bond Debt Service</t>
  </si>
  <si>
    <t>Total Special Projects (lines 18 and 29)</t>
  </si>
  <si>
    <t>33.</t>
  </si>
  <si>
    <t>850  Student Activities</t>
  </si>
  <si>
    <t>34.</t>
  </si>
  <si>
    <t>Other _____________________________________</t>
  </si>
  <si>
    <t>INSTRUCTIONAL IMPROVEMENT FUND EXPENDITURES (020)</t>
  </si>
  <si>
    <t>INTERNAL SERVICE FUNDS 950-989</t>
  </si>
  <si>
    <t>Teacher Compensation Increases</t>
  </si>
  <si>
    <t>9___ Self-Insurance</t>
  </si>
  <si>
    <t>Class Size Reduction</t>
  </si>
  <si>
    <t>955  Intergovernmental Agreements</t>
  </si>
  <si>
    <t>Dropout Prevention Programs (M&amp;O purposes)</t>
  </si>
  <si>
    <t>9__  OPEB</t>
  </si>
  <si>
    <t>Instructional Improvement Programs (M&amp;O purposes)</t>
  </si>
  <si>
    <t>9___   ______________________</t>
  </si>
  <si>
    <t>Total Instructional Improvement Fund (lines 1-4)</t>
  </si>
  <si>
    <t>(1)</t>
  </si>
  <si>
    <t>From Supplement, line 10 and line 20, respectively.</t>
  </si>
  <si>
    <t>(2)</t>
  </si>
  <si>
    <t>Indicate amount budgeted in Fund 500 for M&amp;O purposes</t>
  </si>
  <si>
    <t>CTD NUMBER</t>
  </si>
  <si>
    <t xml:space="preserve">CALCULATION OF FY 2024 GENERAL BUDGET LIMIT </t>
  </si>
  <si>
    <t>(A.R.S. §15-947.C)</t>
  </si>
  <si>
    <t>A.</t>
  </si>
  <si>
    <t>B.</t>
  </si>
  <si>
    <t>Maintenance</t>
  </si>
  <si>
    <t>Unrestricted</t>
  </si>
  <si>
    <t>and Operation</t>
  </si>
  <si>
    <t>Capital Outlay</t>
  </si>
  <si>
    <t>*1.</t>
  </si>
  <si>
    <t xml:space="preserve">FY 2024 Revenue Control Limit (RCL) </t>
  </si>
  <si>
    <t>(from BSA55 tab, page 3)</t>
  </si>
  <si>
    <t>$</t>
  </si>
  <si>
    <t>*2.</t>
  </si>
  <si>
    <t>(a)</t>
  </si>
  <si>
    <t>FY 2024 District Additional Assistance (DAA)  (from BSA55 tab, page 4)</t>
  </si>
  <si>
    <t>(b)</t>
  </si>
  <si>
    <t>DAA Adjustment (from BSA55 tab, page 4)</t>
  </si>
  <si>
    <t>(c)</t>
  </si>
  <si>
    <t>Total DAA (line 2.a plus 2.b)</t>
  </si>
  <si>
    <t>*3.</t>
  </si>
  <si>
    <t>FY 2024 Override Authorization (A.R.S. §§15-481 and 15-482 or 15-949 if small school adjustment phase down applies, see Calculations page, Calculation of Maximum Override for a District No Longer Eligible for a Small School Adjustment, line 6 and Calculation of Small School Adjustment Phase Down Limit, line 6)</t>
  </si>
  <si>
    <t xml:space="preserve">Maintenance and Operation </t>
  </si>
  <si>
    <t>Special Program</t>
  </si>
  <si>
    <t>*4.</t>
  </si>
  <si>
    <t>Small School Adjustment for Districts with a Student Count of 125 or less in K-8 or 100 or less in 9-12 (A.R.S. §15-949) (Up to $50,000 if no election is chosen for phase down, see Calculations page, Calculation of Small School Adjustment Phase Down Limit, line 6)</t>
  </si>
  <si>
    <t>*5.</t>
  </si>
  <si>
    <t xml:space="preserve">Tuition Revenue (A.R.S. §§15-823 and 15-824) </t>
  </si>
  <si>
    <t>Individuals and Other Private Sources</t>
  </si>
  <si>
    <t>Other Arizona Districts</t>
  </si>
  <si>
    <t>Out-of-State Districts and Other Governments</t>
  </si>
  <si>
    <t>(d)</t>
  </si>
  <si>
    <t>Certificates of Educational Convenience (A.R.S. §§15-825, 15-825.01, and 15-825.02)</t>
  </si>
  <si>
    <t>*6.</t>
  </si>
  <si>
    <t>State Assistance (A.R.S. §15-976) and Special Ed. Voucher Payments Received (A.R.S. §15-1204)</t>
  </si>
  <si>
    <t>*7.</t>
  </si>
  <si>
    <t>Increase Authorized by County School Superintendent for Accommodation Schools</t>
  </si>
  <si>
    <t>[not to exceed amount on Calculations page, Calculation of M&amp;O Fund Budget Balance Carryforward, line 15(e)]  (A.R.S. §15-974.B)</t>
  </si>
  <si>
    <t>Budget Increase for:</t>
  </si>
  <si>
    <t>Desegregation Expenditures (A.R.S. §15-910.G-K)</t>
  </si>
  <si>
    <t>*</t>
  </si>
  <si>
    <t>Budget Balance Carryforward (from Calculations page, Calculation of M&amp;O Fund Budget Balance Carryforward, line 13) (A.R.S. §15-943.01)</t>
  </si>
  <si>
    <t>Dropout Prevention Programs (Laws 1992, Ch. 305, §32 and Laws 2000, Ch. 398, §2)</t>
  </si>
  <si>
    <t xml:space="preserve">Registered Warrant or Tax Anticipation Note Interest Expense Incurred in </t>
  </si>
  <si>
    <t>(e)</t>
  </si>
  <si>
    <t>Joint Career and Technical Education and Vocational Education Center (A.R.S. §15-910.01)</t>
  </si>
  <si>
    <t>(f)</t>
  </si>
  <si>
    <t>FY 2023 Performance Pay Unexpended Budget Carryforward (from Calculation page,</t>
  </si>
  <si>
    <t>Calculation of M&amp;O Fund Budget Balance Carryforward, line 10.f) (A.R.S. §15-920)</t>
  </si>
  <si>
    <t>(g)</t>
  </si>
  <si>
    <t>Excessive Property Tax Assessed Valuation Judgments (A.R.S. §§42-16213 and 42-16214)</t>
  </si>
  <si>
    <t>(h)</t>
  </si>
  <si>
    <t>Transportation Revenues for Attendance of Nonresident Pupils (A.R.S. §§15-923 and 15-947)</t>
  </si>
  <si>
    <t>*9.</t>
  </si>
  <si>
    <t>Adjustment to the General Budget Limit (A.R.S. §§15-272, 15-905.M, 15-910.02, and 15-915) 
Include year(s) and descriptions, as applicable.</t>
  </si>
  <si>
    <t>Prior Year Over Expenditures/Resolutions:</t>
  </si>
  <si>
    <t>Decrease for Transfer from M&amp;O to Energy and Water Savings Fund</t>
  </si>
  <si>
    <t>Increase for Energy and Water Savings Fund Transfer to M&amp;O</t>
  </si>
  <si>
    <t>Noncompliance Adjustment</t>
  </si>
  <si>
    <t>ADM/Transportation Audit Adjustment</t>
  </si>
  <si>
    <t>Other:</t>
  </si>
  <si>
    <t>*10.</t>
  </si>
  <si>
    <t>Estimated Allocation of Additional Funding (2016 Prop 123 &amp; Laws 2015, 1st S.S., Ch. 1, §6)</t>
  </si>
  <si>
    <t>*11.</t>
  </si>
  <si>
    <t>Estimated Allocation of Onetime State Aid Supplement (Laws 2023, Ch. 133, §31)</t>
  </si>
  <si>
    <t>FY 2024 General Budget Limit (column A, lines 1 through 10)</t>
  </si>
  <si>
    <t>(A.R.S. §15-905.F)  (page 1, line 30 cannot exceed this amount)</t>
  </si>
  <si>
    <t xml:space="preserve">Total Amount to be Used for Capital Expenditures (column B, lines 1 through 10) </t>
  </si>
  <si>
    <t>( A.R.S. §15-905.F) (to page 8, line 11)</t>
  </si>
  <si>
    <t>Subject to adjustment prior to May 15 as allowed by A.R.S. Revisions are described in the instructions for these lines, as needed.</t>
  </si>
  <si>
    <t xml:space="preserve">DISTRICT NAME      </t>
  </si>
  <si>
    <t>CALCULATION OF FY 2024 UNRESTRICTED CAPITAL BUDGET LIMIT
(A.R.S. §15-947.D)</t>
  </si>
  <si>
    <t>UNRESTRICTED CAPITAL BUDGET LIMIT</t>
  </si>
  <si>
    <t>FY 2023 Unrestricted Capital Budget Limit (UCBL)</t>
  </si>
  <si>
    <t xml:space="preserve"> (from FY 2023 latest revised Budget, page 8, line 12)</t>
  </si>
  <si>
    <t>Total UCBL Adjustment for prior years as notified by ADE on BUDG75 report (For budget</t>
  </si>
  <si>
    <t>adoption, use zero.)</t>
  </si>
  <si>
    <t>Adjusted Amount Available for FY 2023 Capital Expenditures (line 1 + 2)</t>
  </si>
  <si>
    <t xml:space="preserve">Amount Budgeted in Fund 610 in FY 2023 </t>
  </si>
  <si>
    <t>(from FY 2023 latest revised Budget, page 4, line 10)</t>
  </si>
  <si>
    <t>Lesser of line 3 or the sum of line 4 and any positive adjustment on line 2</t>
  </si>
  <si>
    <t xml:space="preserve">FY 2023 Fund 610 Actual Expenditures  (For budget adoption use actual expenditures </t>
  </si>
  <si>
    <t>to date plus estimated expenditures through fiscal year-end.)</t>
  </si>
  <si>
    <t xml:space="preserve">Unexpended Budget Balance in Fund 610 (line 5 minus 6) If negative, use zero in </t>
  </si>
  <si>
    <t>calculation, but show negative amount here in parentheses.</t>
  </si>
  <si>
    <t>Interest Earned in Fund 610 in FY 2023</t>
  </si>
  <si>
    <t>Monies deposited in Fund 610 from Division of School Facilities for donated land (A.R.S. §41-5741.F)</t>
  </si>
  <si>
    <t>Adjustment to UCBL for FY 2024 (A.R.S. §15-905.M) Include year(s) and descriptions, as applicable.</t>
  </si>
  <si>
    <t>Amount to be Used for Capital Expenditures (from page 7, line 12)</t>
  </si>
  <si>
    <t>FY 2024 Unrestricted Capital Budget Limit (lines 7 through 11) (1)</t>
  </si>
  <si>
    <t>The amount budgeted on page 4, line 10 cannot exceed this amount.</t>
  </si>
  <si>
    <t>SUPPLEMENT TO SCHOOL DISTRICT ANNUAL EXPENDITURE BUDGET FOR DISTRICTS THAT BUDGET FOR 
ENGLISH LANGUAGE LEARNERS (A.R.S. §§15-756.04 and 15-756.11)</t>
  </si>
  <si>
    <t>English Language Learners Supplement</t>
  </si>
  <si>
    <t>English Language Learner Fund 071  (A.R.S. §15-756.04)</t>
  </si>
  <si>
    <t xml:space="preserve">      2700 Student Transportation </t>
  </si>
  <si>
    <t>Total (lines 1-9) (to Budget, page 6, Other Funds, line 2)</t>
  </si>
  <si>
    <t>Compensatory Instruction Fund 072  (A.R.S. §15-756.11)</t>
  </si>
  <si>
    <t>Total (lines 11-19) (to Budget, page 6, Other Funds, line 3)</t>
  </si>
  <si>
    <t>proposed by the Governing Board on,</t>
  </si>
  <si>
    <t>revised by the Governing Board on,</t>
  </si>
  <si>
    <t>adopted by the Governing Board on,</t>
  </si>
  <si>
    <t>I certify that the Budget of</t>
  </si>
  <si>
    <t xml:space="preserve">District, </t>
  </si>
  <si>
    <t>County for fiscal year 2024 was officially</t>
  </si>
  <si>
    <t>, and that the complete Proposed Expenditure Budget may be reviewed by contacting</t>
  </si>
  <si>
    <t>, and that the complete Adopted Expenditure Budget may be reviewed by contacting</t>
  </si>
  <si>
    <t>, and that the complete Revised Expenditure Budget may be reviewed by contacting</t>
  </si>
  <si>
    <t>at the District Office, telephone</t>
  </si>
  <si>
    <t>during normal business hours.</t>
  </si>
  <si>
    <t>President of the Governing Board</t>
  </si>
  <si>
    <t>1.  Average Daily Membership:</t>
  </si>
  <si>
    <t>Prior Year</t>
  </si>
  <si>
    <t>Budget Year</t>
  </si>
  <si>
    <t>4. Average Teacher Salaries (A.R.S. §15-903.E)</t>
  </si>
  <si>
    <t>2022 ADM</t>
  </si>
  <si>
    <t>2023 ADM</t>
  </si>
  <si>
    <t>2024 ADM</t>
  </si>
  <si>
    <t>1. Average salary of all teachers employed in FY 2024 (budget year)</t>
  </si>
  <si>
    <t>Attending</t>
  </si>
  <si>
    <t>2. Average salary of all teachers employed in FY 2023 (prior year)</t>
  </si>
  <si>
    <t>3. Increase in average teacher salary from the prior year</t>
  </si>
  <si>
    <t>2.  Tax Rates:</t>
  </si>
  <si>
    <t>Est. Budget FY</t>
  </si>
  <si>
    <t xml:space="preserve">4. Percentage increase </t>
  </si>
  <si>
    <r>
      <t xml:space="preserve">Primary Rate </t>
    </r>
    <r>
      <rPr>
        <sz val="8"/>
        <color indexed="8"/>
        <rFont val="Times New Roman"/>
        <family val="1"/>
      </rPr>
      <t>(equalization formula funding and budget add-ons not required to be in secondary rate)</t>
    </r>
  </si>
  <si>
    <r>
      <t>Secondary Rate (</t>
    </r>
    <r>
      <rPr>
        <sz val="8"/>
        <color indexed="8"/>
        <rFont val="Times New Roman"/>
        <family val="1"/>
      </rPr>
      <t>voter-approved overrides, bonds, and Career Technical Education Districts, and desegregation, if applicable)</t>
    </r>
  </si>
  <si>
    <t>3.  Budgeted Expenditures and Budget Limits:</t>
  </si>
  <si>
    <t>Maintenance &amp; Operation Fund</t>
  </si>
  <si>
    <t>Classroom Site Fund</t>
  </si>
  <si>
    <t>Unrestricted Capital Outlay Fund</t>
  </si>
  <si>
    <t>MAINTENANCE AND OPERATION EXPENDITURES</t>
  </si>
  <si>
    <t>% Inc./(Decr.)</t>
  </si>
  <si>
    <t>Salaries and Benefits</t>
  </si>
  <si>
    <t>TOTAL</t>
  </si>
  <si>
    <t>from</t>
  </si>
  <si>
    <t xml:space="preserve">      2300, 2400, 2500 Administration</t>
  </si>
  <si>
    <t xml:space="preserve">      2600 Oper./Maint. of Plant</t>
  </si>
  <si>
    <t xml:space="preserve">      2900 Other </t>
  </si>
  <si>
    <t xml:space="preserve">   3000 Oper. of Noninstructional Services</t>
  </si>
  <si>
    <t>610 School-Sponsored Cocurric. Activities</t>
  </si>
  <si>
    <t>630, 700, 800, 900 Other Programs</t>
  </si>
  <si>
    <t xml:space="preserve">   Regular Education Subsection Subtotal </t>
  </si>
  <si>
    <t xml:space="preserve">   Special Education Subsection Subtotal </t>
  </si>
  <si>
    <t>510 Desegregation</t>
  </si>
  <si>
    <t>540 Joint Career and Technical Education</t>
  </si>
  <si>
    <t xml:space="preserve">       and Vocational Education Center</t>
  </si>
  <si>
    <t xml:space="preserve">   TOTAL EXPENDITURES</t>
  </si>
  <si>
    <t>The table below calculates the total amount shown on the Total Expenditures by Fund, Other line.  This table does not need to be printed as an official part of the budget forms.</t>
  </si>
  <si>
    <t>TOTAL EXPENDITURES BY FUND</t>
  </si>
  <si>
    <t>$ Increase/(Decrease)</t>
  </si>
  <si>
    <t>% Increase/(Decrease)</t>
  </si>
  <si>
    <t>Fund</t>
  </si>
  <si>
    <t>From page 6, Other Funds</t>
  </si>
  <si>
    <t xml:space="preserve"> Prior FY</t>
  </si>
  <si>
    <t>Maintenance &amp; Operation</t>
  </si>
  <si>
    <t>Instructional Improvement</t>
  </si>
  <si>
    <t>English Language Learner</t>
  </si>
  <si>
    <t>Compensatory Instruction</t>
  </si>
  <si>
    <t>Classroom Site</t>
  </si>
  <si>
    <t>Federal Projects</t>
  </si>
  <si>
    <t>State Projects</t>
  </si>
  <si>
    <t>New School Facilities</t>
  </si>
  <si>
    <t>Adjacent Ways</t>
  </si>
  <si>
    <t>School Plant Fund</t>
  </si>
  <si>
    <t>Auxiliary Operations</t>
  </si>
  <si>
    <t>Bond Building</t>
  </si>
  <si>
    <t>Food Service</t>
  </si>
  <si>
    <t>M&amp;O FUND SPECIAL EDUCATION PROGRAMS BY TYPE</t>
  </si>
  <si>
    <r>
      <t>Program (A.R.S. §§15-761</t>
    </r>
    <r>
      <rPr>
        <b/>
        <sz val="8"/>
        <rFont val="Times New Roman"/>
        <family val="1"/>
      </rPr>
      <t xml:space="preserve"> and 15-903)</t>
    </r>
  </si>
  <si>
    <t xml:space="preserve">             TOTAL</t>
  </si>
  <si>
    <t>PROPOSED STAFFING SUMMARY</t>
  </si>
  <si>
    <t>Staff Type</t>
  </si>
  <si>
    <t>Purchased Services Personnel  FTE</t>
  </si>
  <si>
    <t>Employee FTE</t>
  </si>
  <si>
    <t>Total FTE</t>
  </si>
  <si>
    <t>Staff-Pupil Ratio</t>
  </si>
  <si>
    <t>Certified --</t>
  </si>
  <si>
    <t>Total</t>
  </si>
  <si>
    <t>Superintendent, Principals, Other Administrators</t>
  </si>
  <si>
    <t>1  to</t>
  </si>
  <si>
    <t>Teachers</t>
  </si>
  <si>
    <t>Subtotal</t>
  </si>
  <si>
    <t>Classified --</t>
  </si>
  <si>
    <t>Managers, Supervisors, Directors</t>
  </si>
  <si>
    <t>Teachers Aides</t>
  </si>
  <si>
    <t>Special Education --</t>
  </si>
  <si>
    <t>Teacher</t>
  </si>
  <si>
    <t xml:space="preserve">1 to </t>
  </si>
  <si>
    <t>Staff</t>
  </si>
  <si>
    <t>FY 2024 Truth in Taxation Work Sheet (A.R.S. §15-905.01)</t>
  </si>
  <si>
    <t>Deduction for discontinued programs</t>
  </si>
  <si>
    <t>Adjusted FY 2024 TNT Base Limit</t>
  </si>
  <si>
    <t>Primary Property Tax Rate Related to Budgeted Expenditures</t>
  </si>
  <si>
    <t>FY 2024 Budgeted Expenditures</t>
  </si>
  <si>
    <t xml:space="preserve">Desegregation (no longer a primary levy, must be zero) </t>
  </si>
  <si>
    <t>Dropout Prevention (from page 1, line 27)</t>
  </si>
  <si>
    <t xml:space="preserve">Joint Career and Technical Education and Vocational Education Center </t>
  </si>
  <si>
    <t>Small School Adjustment (from page 7, line 4, columns A and B)</t>
  </si>
  <si>
    <t>Adjustments for FY 2023 Expenditures</t>
  </si>
  <si>
    <t>Desegregation, Dropout Prevention, and Joint Career and Technical Education and Vocational Education Center</t>
  </si>
  <si>
    <t>a.</t>
  </si>
  <si>
    <t xml:space="preserve">FY 2023 Total Actual Expenditures for programs above                                               </t>
  </si>
  <si>
    <t>b.</t>
  </si>
  <si>
    <t>Sum of FY 2023 original budget amounts for programs above (from FY 2023 TNT work sheet, sum of lines 4, 5, and 6)</t>
  </si>
  <si>
    <t>c.</t>
  </si>
  <si>
    <t>Expenditures over/(under) original budget (line 8.a minus line 8.b)</t>
  </si>
  <si>
    <t>Small School Adjustment</t>
  </si>
  <si>
    <t xml:space="preserve">FY 2023 final budget for Small School Adjustment        </t>
  </si>
  <si>
    <t>FY 2023 original budget for Small School Adjustment (from FY 2023 TNT work sheet, line 7)</t>
  </si>
  <si>
    <t>Amount over/(under) budget for Small School Adjustment (line 9.a minus line 9.b)</t>
  </si>
  <si>
    <t>Total (add lines 4 through 7 and line 8.c. and line 9.c.)</t>
  </si>
  <si>
    <t>Excess over Truth in Taxation Limit  (1)</t>
  </si>
  <si>
    <t>(Line 10 minus line 3.  If negative, enter zero.)</t>
  </si>
  <si>
    <t>Amount to be Levied in FY 2024 for Adjacent Ways</t>
  </si>
  <si>
    <t>pursuant to A.R.S. §15-995 (from page 5, footnote 2) (1)</t>
  </si>
  <si>
    <t>Amount to be Levied in FY 2024 for Liabilities in Excess</t>
  </si>
  <si>
    <t>of the Budget pursuant to A.R.S. §15-907 (1)</t>
  </si>
  <si>
    <t>Calculations for Truth in Taxation Notice</t>
  </si>
  <si>
    <t xml:space="preserve">A. </t>
  </si>
  <si>
    <t>Sum of lines 11, 12, and 13</t>
  </si>
  <si>
    <t xml:space="preserve">B.1. </t>
  </si>
  <si>
    <t>Current Assessed Value</t>
  </si>
  <si>
    <t xml:space="preserve">B.2. </t>
  </si>
  <si>
    <t>(Line 3 divided by line B.1) x $10,000</t>
  </si>
  <si>
    <t xml:space="preserve">C.1. </t>
  </si>
  <si>
    <t>Sum of lines 3, 11, 12, and 13</t>
  </si>
  <si>
    <t xml:space="preserve">C.2. </t>
  </si>
  <si>
    <t xml:space="preserve">(Line C.1 divided by line B.1) x $10,000 </t>
  </si>
  <si>
    <t>If an amount on line 11, 12, or 13 is greater than zero, the district must publish a Truth in Taxation Hearing Notice as described in A.R.S. §15-905.01.</t>
  </si>
  <si>
    <t>$10,000 is used in these calculations to determine the amounts to include on the truth in taxation hearing notice for a $100,000 home, as property taxes on residential properties are levied at 10% of the assessed valuation per A.R.S. §42-15003.</t>
  </si>
  <si>
    <t>District Name</t>
  </si>
  <si>
    <t>County</t>
  </si>
  <si>
    <t>CTD Number</t>
  </si>
  <si>
    <t>DATA ENTRY SHEET</t>
  </si>
  <si>
    <t xml:space="preserve"> FY 2024 LEGISLATIVE AMOUNTS</t>
  </si>
  <si>
    <t>Base Level Amount (A.R.S. §15-901, as amended by Laws 2023, Ch. 142, §3)</t>
  </si>
  <si>
    <t>State Support Level per Route Mile (A.R.S. §15-945, as amended by Laws 2023, Ch. 142, §5)</t>
  </si>
  <si>
    <r>
      <t xml:space="preserve">0.5 mile or less  </t>
    </r>
    <r>
      <rPr>
        <b/>
        <sz val="9"/>
        <rFont val="Times New Roman"/>
        <family val="1"/>
      </rPr>
      <t>OR</t>
    </r>
    <r>
      <rPr>
        <sz val="9"/>
        <rFont val="Times New Roman"/>
        <family val="1"/>
      </rPr>
      <t xml:space="preserve">  more than 1.0 mile</t>
    </r>
  </si>
  <si>
    <t>More than 0.5 mile through 1.0 mile</t>
  </si>
  <si>
    <t>UNWEIGHTED STUDENT COUNT</t>
  </si>
  <si>
    <r>
      <rPr>
        <b/>
        <sz val="9"/>
        <rFont val="Times New Roman"/>
        <family val="1"/>
      </rPr>
      <t xml:space="preserve">All districts must complete lines 1 through 6 below. 
</t>
    </r>
    <r>
      <rPr>
        <sz val="9"/>
        <rFont val="Times New Roman"/>
        <family val="1"/>
      </rPr>
      <t>Prior years ADM amounts (lines 1 and 2) are used to calculate district additional assistance (DAA), including DAA growth factor if applicable, in accordance with A.R.S. §15-961. Estimated current year ADM (lines 3 through 6) is used to calculate the Group A weighted student count included in the Base Support Level calculation on the BSA55 tab, page 2.</t>
    </r>
  </si>
  <si>
    <t>Prior Years ADM (A.R.S. §§15-901 and 15-961)</t>
  </si>
  <si>
    <t>PSD</t>
  </si>
  <si>
    <t>K-8</t>
  </si>
  <si>
    <t>9-12</t>
  </si>
  <si>
    <t xml:space="preserve">FY 2022 100th-Day ADM </t>
  </si>
  <si>
    <t xml:space="preserve">2. </t>
  </si>
  <si>
    <t xml:space="preserve">FY 2023 100th-Day ADM </t>
  </si>
  <si>
    <t>Current Year ADM (A.R.S. §§15-943 and 15-808)</t>
  </si>
  <si>
    <t>FY 2024 Estimated Non-AOI Student Count</t>
  </si>
  <si>
    <t>FY 2024 Estimated AOI Full-Time Student Count</t>
  </si>
  <si>
    <t>FY 2024 Estimated AOI Part-Time Student Count</t>
  </si>
  <si>
    <t>Total FY 2024 Estimated Student Count</t>
  </si>
  <si>
    <t>STUDENT COUNT BY CATEGORY</t>
  </si>
  <si>
    <t>Student counts used to calculate the Group B weighted add-on count used in calculating the Base Support Level.</t>
  </si>
  <si>
    <t>Non-AOI Student Count</t>
  </si>
  <si>
    <t>AOI Full-Time Student Count</t>
  </si>
  <si>
    <t>AOI Part-Time Student Count</t>
  </si>
  <si>
    <t>K-3 Reading</t>
  </si>
  <si>
    <t>K-3</t>
  </si>
  <si>
    <t>ELL</t>
  </si>
  <si>
    <t>HI</t>
  </si>
  <si>
    <t>MD-R, A-R, and SID-R</t>
  </si>
  <si>
    <t>MD-SC, A-SC, and SID-SC</t>
  </si>
  <si>
    <t>MD-SSI</t>
  </si>
  <si>
    <t>OI-R</t>
  </si>
  <si>
    <t>OI-SC</t>
  </si>
  <si>
    <t>P-SD</t>
  </si>
  <si>
    <t>DD*, ED, MIID, SLD, SLI*, and OHI</t>
  </si>
  <si>
    <t>*School aged students only</t>
  </si>
  <si>
    <t>ED-P</t>
  </si>
  <si>
    <t>MOID</t>
  </si>
  <si>
    <t>VI</t>
  </si>
  <si>
    <t>G</t>
  </si>
  <si>
    <t>FRPL</t>
  </si>
  <si>
    <t>Total Add-on Count (lines 7 through 21)</t>
  </si>
  <si>
    <t>ADJUSTMENTS TO BASE SUPPORT LEVEL/BASE REVENUE CONTROL LIMIT (A.R.S. §15-944.E)</t>
  </si>
  <si>
    <t>Check box(es) if the district's schools are designated as small isolated by the State Board of Education. (A.R.S. §15-901)</t>
  </si>
  <si>
    <t>Check box if the district has been approved to provide 200 days of instruction by ADE. (A.R.S. §15-902.04)</t>
  </si>
  <si>
    <t>Adjusted FY 2024 Base Level Amount</t>
  </si>
  <si>
    <t>Actual Teacher Experience Index (TEI) from FY 2023 Teacher Experience Report (if actual TEI is less than 1.0000 use 1.0000) (A.R.S. §15-941)</t>
  </si>
  <si>
    <r>
      <t xml:space="preserve">FY 2022 actual </t>
    </r>
    <r>
      <rPr>
        <b/>
        <sz val="9"/>
        <rFont val="Times New Roman"/>
        <family val="1"/>
      </rPr>
      <t xml:space="preserve">non-federal </t>
    </r>
    <r>
      <rPr>
        <sz val="9"/>
        <rFont val="Times New Roman"/>
        <family val="1"/>
      </rPr>
      <t>audit expenditures from all funds (A.R.S. §15-914.F)</t>
    </r>
  </si>
  <si>
    <r>
      <t xml:space="preserve">FY 2022 actual </t>
    </r>
    <r>
      <rPr>
        <b/>
        <sz val="9"/>
        <rFont val="Times New Roman"/>
        <family val="1"/>
      </rPr>
      <t>federal</t>
    </r>
    <r>
      <rPr>
        <sz val="9"/>
        <rFont val="Times New Roman"/>
        <family val="1"/>
      </rPr>
      <t xml:space="preserve"> audit expenditures from all funds </t>
    </r>
  </si>
  <si>
    <r>
      <t xml:space="preserve">FY 2022 actual </t>
    </r>
    <r>
      <rPr>
        <b/>
        <sz val="9"/>
        <rFont val="Times New Roman"/>
        <family val="1"/>
      </rPr>
      <t>total</t>
    </r>
    <r>
      <rPr>
        <sz val="9"/>
        <rFont val="Times New Roman"/>
        <family val="1"/>
      </rPr>
      <t xml:space="preserve"> audit expenditures from all funds (line 6 plus line 7)</t>
    </r>
  </si>
  <si>
    <r>
      <t>TRANSPORTATION (A.R.S. §§15-816.01, 15-945</t>
    </r>
    <r>
      <rPr>
        <b/>
        <sz val="12"/>
        <rFont val="Times New Roman"/>
        <family val="1"/>
      </rPr>
      <t>,</t>
    </r>
    <r>
      <rPr>
        <b/>
        <sz val="12"/>
        <color indexed="8"/>
        <rFont val="Times New Roman"/>
        <family val="1"/>
      </rPr>
      <t xml:space="preserve"> and 15-946)</t>
    </r>
  </si>
  <si>
    <t xml:space="preserve">FY 2023 Approved Daily Route Miles </t>
  </si>
  <si>
    <t xml:space="preserve">Number of Eligible Students Transported in FY 2023 </t>
  </si>
  <si>
    <t xml:space="preserve">FY 2023 Annual Expenditure for Bus Tokens </t>
  </si>
  <si>
    <t xml:space="preserve">FY 2023 Annual Expenditure for Bus Passes </t>
  </si>
  <si>
    <t xml:space="preserve">Actual Route Miles traveled in July and August 2022 to Transport Pupils w/Disabilities for Extended School Year </t>
  </si>
  <si>
    <t>Estimated Route Miles Traveled in June 2023 to Transport Pupils w/Disabilities for Extended School Year</t>
  </si>
  <si>
    <t>OTHER INFORMATION</t>
  </si>
  <si>
    <t>Capital Transportation Adjustment (A.R.S. §15-963.B)</t>
  </si>
  <si>
    <t>Adjustment for Remote Instructional Time calculated by ADE (A.R.S. §15-901.08, leave blank for budget adoption)</t>
  </si>
  <si>
    <t>Consolidation/Unification Increase for Transitional Costs incurred in first year (A.R.S. §§15-912 and 15-912.01)</t>
  </si>
  <si>
    <t>ASSESSED PROPERTY VALUATIONS</t>
  </si>
  <si>
    <t>2023 Primary Net Assessed Valuation (AV)</t>
  </si>
  <si>
    <t>2023 Primary Net Assessed Valuation (AV2)</t>
  </si>
  <si>
    <t>2023 Salt River Project (SRP) Valuation</t>
  </si>
  <si>
    <t>2023 Government Property Lease Excise Tax Assessed Valuation</t>
  </si>
  <si>
    <t>BUDGET BALANCE CARRYFORWARD (A.R.S. §15-943.01)</t>
  </si>
  <si>
    <t>Adjustments to the General Budget Limit (from FY 2023 BUDG75, leave blank for budget adoption)</t>
  </si>
  <si>
    <t>FY 2023 M&amp;O Fund actual expenditures (from FY 2023 AFR, amount will be estimated for budget adoption)</t>
  </si>
  <si>
    <t>FY 2023 M&amp;O Fund Actual Expenditures (if any) for:</t>
  </si>
  <si>
    <t xml:space="preserve">Special Program Override </t>
  </si>
  <si>
    <t xml:space="preserve">Desegregation (A.R.S. §15-910) </t>
  </si>
  <si>
    <t xml:space="preserve">Tuition Out Debt Service </t>
  </si>
  <si>
    <t>d.</t>
  </si>
  <si>
    <t xml:space="preserve">Dropout Prevention Programs </t>
  </si>
  <si>
    <t>e.</t>
  </si>
  <si>
    <t xml:space="preserve">Joint Career and Technical Education and Vocational Education Center (A.R.S. §15-910.01) </t>
  </si>
  <si>
    <t>f.</t>
  </si>
  <si>
    <t xml:space="preserve">Performance Pay (A.R.S. §15-920) </t>
  </si>
  <si>
    <t>Budget Balance Carryforward transferred to the School Opening Fund (if any)</t>
  </si>
  <si>
    <t>DISTRICTS RECEIVING FEDERAL IMPACT AID REVENUES (A.R.S. §15-905.R):</t>
  </si>
  <si>
    <t>FY 2024 Impact Aid Revenue</t>
  </si>
  <si>
    <t>Impact Aid revenue deposited in FY 2024 to the Impact Aid Revenue Bond Debt Service Fund for principal and interest payments</t>
  </si>
  <si>
    <t>Impact Aid revenue transferred in FY 2024 to the M&amp;O Fund to provide cash for the TRCL/TSL difference</t>
  </si>
  <si>
    <t>TRCL/TSL difference</t>
  </si>
  <si>
    <t>Impact Aid revenue transferred in FY 2024 to the M&amp;O Fund to reduce or eliminate taxes</t>
  </si>
  <si>
    <t xml:space="preserve">FY 2023 Ending Cash Balance in the Impact Aid Fund </t>
  </si>
  <si>
    <t>DISTRICTS OPERATING UNDER THE PROVISIONS OF THE SMALL SCHOOL ADJUSTMENT (A.R.S. §15-949):</t>
  </si>
  <si>
    <r>
      <t xml:space="preserve">Check box if the district previously operated under a small school adjustment and no longer qualifies based on current year ADM. The phase down limit for an override election pursuant to A.R.S. §15-481 is shown in the appropriate section of the Calculations page. If this box is checked, the district </t>
    </r>
    <r>
      <rPr>
        <b/>
        <u/>
        <sz val="9"/>
        <rFont val="Times New Roman"/>
        <family val="1"/>
      </rPr>
      <t>must</t>
    </r>
    <r>
      <rPr>
        <sz val="9"/>
        <rFont val="Times New Roman"/>
        <family val="1"/>
      </rPr>
      <t xml:space="preserve"> complete line 18 below.</t>
    </r>
  </si>
  <si>
    <t>Enter the fiscal year that the district exceeded the allowable student counts for the first time. (A.R.S. §15-949.C and .E)</t>
  </si>
  <si>
    <t>For unified districts that qualified for a phase down limit for K-8 or 9-12 but not both, enter 10% of the RCL attributable to the nonqualifying K-8 or 9-12 weighted student count as provided in A.R.S. §15-971(B)(2)(a).</t>
  </si>
  <si>
    <t>DISTRICTS NEEDING BSL ADJUSTMENT DUE TO TUITION LOSS (A.R.S. §§15-954 and 15-902.01):</t>
  </si>
  <si>
    <t xml:space="preserve">Only complete this section if the district receives less tuition from a district which is inside or outside of this
state because the district of residence began to offer instruction in one or more high school grade levels not
previously offered. </t>
  </si>
  <si>
    <t xml:space="preserve">Base year - the fiscal year before the other district began to offer instruction </t>
  </si>
  <si>
    <t>Base year Attending ADM Grades 9-12</t>
  </si>
  <si>
    <t xml:space="preserve">Number of tuitioned students lost in the year after the base year due to district of residence offering instruction in Grades 9-12 not offered previously </t>
  </si>
  <si>
    <t xml:space="preserve">Tuition received in base year </t>
  </si>
  <si>
    <t xml:space="preserve">Tuition received in fiscal year after base year </t>
  </si>
  <si>
    <t>Check box if the district lost student count resulting from the formation of a joint unified school district pursuant to A.R.S. §15-450</t>
  </si>
  <si>
    <t>Additional number of tuitioned students lost in the second year after the base year (Type 05 districts only)</t>
  </si>
  <si>
    <t>Additional number of tuitioned students lost in the third year after the base year (Type 05 districts only)</t>
  </si>
  <si>
    <t>TYPE 03 DISTRICT INFORMATION</t>
  </si>
  <si>
    <t xml:space="preserve">High School Student Count Transported by District of Residence to District of Attendance (A.R.S. §15-961.D, as amended by Laws 2023, Ch. 142, Sec. 6) </t>
  </si>
  <si>
    <t>ACCOMMODATION DISTRICT (TYPE 01) INFORMATION (A.R.S. §15-974)</t>
  </si>
  <si>
    <r>
      <t xml:space="preserve">Check box if the district offers instruction in grades 9-12. </t>
    </r>
    <r>
      <rPr>
        <b/>
        <sz val="9"/>
        <rFont val="Times New Roman"/>
        <family val="1"/>
      </rPr>
      <t>Accommodation districts only.</t>
    </r>
  </si>
  <si>
    <r>
      <t xml:space="preserve">Only accommodation districts with a student count of </t>
    </r>
    <r>
      <rPr>
        <b/>
        <sz val="9"/>
        <rFont val="Times New Roman"/>
        <family val="1"/>
      </rPr>
      <t>more</t>
    </r>
    <r>
      <rPr>
        <sz val="9"/>
        <rFont val="Times New Roman"/>
        <family val="1"/>
      </rPr>
      <t xml:space="preserve"> than 125 in grades K-8 </t>
    </r>
    <r>
      <rPr>
        <b/>
        <sz val="9"/>
        <rFont val="Times New Roman"/>
        <family val="1"/>
      </rPr>
      <t>or</t>
    </r>
    <r>
      <rPr>
        <sz val="9"/>
        <rFont val="Times New Roman"/>
        <family val="1"/>
      </rPr>
      <t xml:space="preserve"> accommodation districts that offer instruction in
grades 9-12 and have a student count of </t>
    </r>
    <r>
      <rPr>
        <b/>
        <sz val="9"/>
        <rFont val="Times New Roman"/>
        <family val="1"/>
      </rPr>
      <t>more</t>
    </r>
    <r>
      <rPr>
        <sz val="9"/>
        <rFont val="Times New Roman"/>
        <family val="1"/>
      </rPr>
      <t xml:space="preserve"> than 100 in grades 9-12, should complete lines 2 through 4. </t>
    </r>
  </si>
  <si>
    <t>Maintenance &amp; Operation (M&amp;O) Fund FY 2023 ending cash balance</t>
  </si>
  <si>
    <t>10% of the FY 2024 RCL calculated using the district's 2023 ADM</t>
  </si>
  <si>
    <t>Up to 5% of the FY 2024 RCL calculated pursuant to A.R.S. §15-482.B</t>
  </si>
  <si>
    <t>CALCULATIONS</t>
  </si>
  <si>
    <t>CALCULATION OF SUPPORT LEVEL WEIGHTS (GROUP A WEIGHTS)</t>
  </si>
  <si>
    <t>DESIGNATED AS ISOLATED</t>
  </si>
  <si>
    <t>NOT DESIGNATED AS ISOLATED</t>
  </si>
  <si>
    <t>Student Count 0.001-99.999</t>
  </si>
  <si>
    <t>Support Level Weight</t>
  </si>
  <si>
    <t>Student Count 100.000-499.999</t>
  </si>
  <si>
    <t>Student Count Constant</t>
  </si>
  <si>
    <t>Student Count</t>
  </si>
  <si>
    <t>-</t>
  </si>
  <si>
    <t>Difference</t>
  </si>
  <si>
    <t>=</t>
  </si>
  <si>
    <t>Weight Adjustment Factor</t>
  </si>
  <si>
    <t>x</t>
  </si>
  <si>
    <t>Support Level Weight Increase</t>
  </si>
  <si>
    <t>+</t>
  </si>
  <si>
    <t>Adjusted Support Level Weight</t>
  </si>
  <si>
    <t>Student Count 500.000-599.999</t>
  </si>
  <si>
    <t xml:space="preserve">Student Count </t>
  </si>
  <si>
    <t>Student Count 600.000 or More</t>
  </si>
  <si>
    <t>Career Technical Education District</t>
  </si>
  <si>
    <t>Support Level Weight (A.R.S. §15-943.02)</t>
  </si>
  <si>
    <t>Total Weighted Student Count</t>
  </si>
  <si>
    <t>K-3 R</t>
  </si>
  <si>
    <t>Non-AOI</t>
  </si>
  <si>
    <t>AOI FT*</t>
  </si>
  <si>
    <t>OTHER CALCULATIONS</t>
  </si>
  <si>
    <t>AOI PT*</t>
  </si>
  <si>
    <t>Portion of BSL/BRCL from total K-3 and total K-3 Reading weighted student counts:</t>
  </si>
  <si>
    <t>*AOI counts shown reflect applicable full-time or part-time funding ratio.</t>
  </si>
  <si>
    <t>Additional Tax in Districts Ineligible for Equalization Assistance, Amount to be 
Levied and Paid to the State (A.R.S. §15-992)</t>
  </si>
  <si>
    <t>CALCULATION OF DISTRICT ADDITIONAL ASSISTANCE (DAA) PER STUDENT COUNT AMOUNTS (A.R.S. §§15-961, as amended by Laws 2023, Ch. 142, §6; 15-951.C; and 15-962.01)</t>
  </si>
  <si>
    <t>TABLE TO CALCULATE DAA PER STUDENT COUNT</t>
  </si>
  <si>
    <t xml:space="preserve">FY 2024 Student Count (2023 ADM):   .001 - 99.999 </t>
  </si>
  <si>
    <t>DAA per Student Count</t>
  </si>
  <si>
    <t xml:space="preserve">FY 2024 Student Count (2023 ADM):   100.000 - 499.999 </t>
  </si>
  <si>
    <t xml:space="preserve">Support Level Weight  </t>
  </si>
  <si>
    <t>g.</t>
  </si>
  <si>
    <t>h.</t>
  </si>
  <si>
    <t>Support Level Amount</t>
  </si>
  <si>
    <t>i.</t>
  </si>
  <si>
    <t xml:space="preserve">FY 2024 Student Count (2023 ADM):   500.000 - 599.999 </t>
  </si>
  <si>
    <t xml:space="preserve">FY 2024 Student Count (2023 ADM):   600.000 or More &amp; Career Technical Education Districts </t>
  </si>
  <si>
    <t>CALCULATION OF MAINTENANCE AND OPERATION (M&amp;O) FUND BUDGET BALANCE CARRYFORWARD (A.R.S. §15-943.01)</t>
  </si>
  <si>
    <t>General Budget Limit (GBL) (from FY 2023 latest revised Budget, page 7, line 11)</t>
  </si>
  <si>
    <t>Adjustments to the GBL (from FY 2023 BUDG75, amount will be zero for budget adoption)</t>
  </si>
  <si>
    <t>Adjusted GBL</t>
  </si>
  <si>
    <t>Budgeted M&amp;O expenditures (from FY 2023 latest revised Budget, page 1, line 30, Total Budget Year Column)</t>
  </si>
  <si>
    <t>Adjustments to the GBL (from line 2)</t>
  </si>
  <si>
    <t>Adjusted Budgeted Expenditures</t>
  </si>
  <si>
    <t>Lesser of the Adjusted GBL (line 3) or the Adjusted Budgeted Expenditures (line 6)</t>
  </si>
  <si>
    <t>Budget Balance (line 7 minus line 8) (If negative, zero is shown. Any negative amount is shown here in parentheses.)</t>
  </si>
  <si>
    <t>Note: For lines 10.a through 10.f the FY 2023 actual expenditures are deducted from the budget amount.  If the result is negative, zero is shown.</t>
  </si>
  <si>
    <t>FY 2023 Actual Expenditures:</t>
  </si>
  <si>
    <t>FY 2023 Budget</t>
  </si>
  <si>
    <t>Actual</t>
  </si>
  <si>
    <t>Unexpended Budget</t>
  </si>
  <si>
    <t>Special Program Override</t>
  </si>
  <si>
    <t>Desegregation</t>
  </si>
  <si>
    <t>Tuition Out Debt Service</t>
  </si>
  <si>
    <t>Joint Career and Technical Education and Vocational Education Center</t>
  </si>
  <si>
    <t>Performance Pay</t>
  </si>
  <si>
    <t>Total Budget Balance Deductions (lines 10.a through 10.f)</t>
  </si>
  <si>
    <t>Budget Balance after Deductions (If negative, the district does not have any budget balance to carry forward.)</t>
  </si>
  <si>
    <t>Budget Balance Carryforward transferred to the School Opening Fund (not to exceed the lesser of line 11 or the FY 2023 M&amp;O Fund ending cash balance)</t>
  </si>
  <si>
    <t>Actual Budget Balance Carryforward to be used in M&amp;O Fund (for GBL calculation on page 7, line 8.c)</t>
  </si>
  <si>
    <t>Accommodation District Cash Balance Carryforward</t>
  </si>
  <si>
    <t>M&amp;O Fund cash balance as of June 30, 2023</t>
  </si>
  <si>
    <t xml:space="preserve">Actual Budget Balance Carryforward </t>
  </si>
  <si>
    <t xml:space="preserve">Remaining M&amp;O Cash Balance </t>
  </si>
  <si>
    <t>Accommodation District Maximum RCL Addition that may be authorized by County School Superintendent:</t>
  </si>
  <si>
    <r>
      <t xml:space="preserve">The amount on line 14.c </t>
    </r>
    <r>
      <rPr>
        <b/>
        <sz val="9"/>
        <rFont val="Times New Roman"/>
        <family val="1"/>
      </rPr>
      <t>or</t>
    </r>
  </si>
  <si>
    <t xml:space="preserve">10% of the FY 2024 RCL calculated using the district's 2023 ADM </t>
  </si>
  <si>
    <t xml:space="preserve">Up to 5% of the FY 2024 RCL calculated pursuant to A.R.S. §15-482.B </t>
  </si>
  <si>
    <t>Result (line 15.b plus line 15.c)</t>
  </si>
  <si>
    <t>The lesser of line 15.a or 15.d</t>
  </si>
  <si>
    <t>CALCULATION OF THE AMOUNT AVAILABLE TO BE SPENT IN THE IMPACT AID FUND (A.R.S. §15-905.R)</t>
  </si>
  <si>
    <t xml:space="preserve">FY 2024 Impact Aid Revenue </t>
  </si>
  <si>
    <t>TRCL/TSL Difference</t>
  </si>
  <si>
    <t>Impact Aid revenue transferred in FY 2024 to the M&amp;O Fund to provide cash for the TRCL/TSL difference calculated on line 3</t>
  </si>
  <si>
    <t>FY 2023 Ending Cash Balance in the Impact Aid Fund</t>
  </si>
  <si>
    <t>FY 2024 Amount Available to be Spent in the Impact Aid Fund  (on page 6, Federal Projects line 16)</t>
  </si>
  <si>
    <t>CALCULATION OF SMALL SCHOOL ADJUSTMENT PHASE DOWN LIMIT</t>
  </si>
  <si>
    <t>Applies to any district that operated under the provisions of the small school adjustment (A.R.S. §15-949.A), and exceeded the allowable student counts for the first time before FY 2000.   Districts that operated under the provisions of a small school adjustment and exceeded the allowable student counts for the first time after FY 1999, should refer to the next section to calculate their maximum override.</t>
  </si>
  <si>
    <r>
      <t xml:space="preserve">If in FY 2024, the K-8 student count is greater than 125 but less than 154, or the 9-12 student count is greater than 100 but less than 176, the district may continue to adopt a budget using a small school adjustment on page 7, line 4 of up to $50,000 without an election.  </t>
    </r>
    <r>
      <rPr>
        <b/>
        <u/>
        <sz val="9"/>
        <rFont val="Times New Roman"/>
        <family val="1"/>
      </rPr>
      <t>OR</t>
    </r>
    <r>
      <rPr>
        <sz val="9"/>
        <rFont val="Times New Roman"/>
        <family val="1"/>
      </rPr>
      <t xml:space="preserve">  If the district holds an override election as provided in A.R.S. §15-481, the district may include up to the amount calculated below on page 7, line 3(a). </t>
    </r>
    <r>
      <rPr>
        <b/>
        <sz val="9"/>
        <rFont val="Times New Roman"/>
        <family val="1"/>
      </rPr>
      <t>For purposes of small school adjustment, the FY 2024 student count is the 2023 ADM.</t>
    </r>
  </si>
  <si>
    <t>A district whose student count K-8 has exceeded 125 but is less than 154 may determine the small school adjustment phase down as follows:</t>
  </si>
  <si>
    <t>SMALL</t>
  </si>
  <si>
    <t>Phase down base</t>
  </si>
  <si>
    <t>TABLE I: Grades K-8</t>
  </si>
  <si>
    <t>ISOLATED</t>
  </si>
  <si>
    <t xml:space="preserve">FY 2024 K-8 student count </t>
  </si>
  <si>
    <t>Small school student count limit</t>
  </si>
  <si>
    <t>FY 2024 Student Count (line 1.b to left)</t>
  </si>
  <si>
    <t xml:space="preserve">Student count above the small school limit </t>
  </si>
  <si>
    <t>Adjusted Support Level Weight (See Table I at right for calculation)</t>
  </si>
  <si>
    <t xml:space="preserve">Weighted student count above small school limit </t>
  </si>
  <si>
    <t xml:space="preserve">Base Level Amount </t>
  </si>
  <si>
    <t xml:space="preserve">Phase down reduction factor </t>
  </si>
  <si>
    <t>FY 2024 Adjusted Support Level Weight (to line 1.e)</t>
  </si>
  <si>
    <t>Grades K-8 small school adjustment phase down limit</t>
  </si>
  <si>
    <t xml:space="preserve">A unified or union high school district whose student count in grades 9-12 has exceeded 100 but is less than 176 may determine the small school adjustment phase down as follows: </t>
  </si>
  <si>
    <t>TABLE II: Grades 9-12</t>
  </si>
  <si>
    <t xml:space="preserve">FY 2024 9-12 student count </t>
  </si>
  <si>
    <t>FY 2024 Student Count (line 2.b to left)</t>
  </si>
  <si>
    <t>Adjusted Support Level Weight (See Table II at right for calculation)</t>
  </si>
  <si>
    <t>FY 2024 Adjusted Support Level Weight (to line 2.e)</t>
  </si>
  <si>
    <t xml:space="preserve">Grades 9-12 small school adjustment phase down limit </t>
  </si>
  <si>
    <t xml:space="preserve">For unified districts that qualified for a phase down limit for K-8 or 9-12 but not both, enter 10% of the RCL attributable to the nonqualifying K-8 or 9-12 weighted student count as provided in A.R.S. §15-971(B)(2)(a). </t>
  </si>
  <si>
    <t xml:space="preserve">Allowable Small School Adjustment, subject to an election </t>
  </si>
  <si>
    <t xml:space="preserve">10% of the District's Total RCL </t>
  </si>
  <si>
    <t>Maximum override, subject to an election (Greater of line 4 or line 5)</t>
  </si>
  <si>
    <t>CALCULATION OF MAXIMUM OVERRIDE FOR A DISTRICT NO LONGER ELIGIBLE FOR A SMALL SCHOOL ADJUSTMENT</t>
  </si>
  <si>
    <t xml:space="preserve">Applies to any district that operated under the provisions of a small school adjustment (A.R.S. §15-949.A) and exceeded the allowable student counts for the first time after FY 1999.  Districts that operated under the provisions of the small school adjustment and exceeded the allowable student counts for the first time before FY 2000, should refer to the section above.   </t>
  </si>
  <si>
    <r>
      <t xml:space="preserve">If in FY 2024, the K-8 student count is greater than 125 but less than 181, or the 9-12 student count is greater than 100 but less than 185, the district may hold an override election as provided in A.R.S. §15-481.  The maximum amount the district may budget on Budget, page 7, line 3(a), subject to an override election, is the amount calculated below.  </t>
    </r>
    <r>
      <rPr>
        <b/>
        <sz val="9"/>
        <rFont val="Times New Roman"/>
        <family val="1"/>
      </rPr>
      <t>For purposes of small school adjustment, the FY 2024 student count is the 2023 ADM.</t>
    </r>
  </si>
  <si>
    <t>A district whose K-8 student count has exceeded 125, but is less than 181 may determine the maximum small school adjustment override as follows:</t>
  </si>
  <si>
    <t>Phase-down factor</t>
  </si>
  <si>
    <t xml:space="preserve">Result </t>
  </si>
  <si>
    <t>Maximum Percent Increase to apply to RCL (.35 minus line 1.e)</t>
  </si>
  <si>
    <t>K-8 Revenue Control Limit</t>
  </si>
  <si>
    <t>K-8 small school budget override limit (line 1.f x line 1.g) (If less than zero, zero is entered)</t>
  </si>
  <si>
    <t>A district whose 9-12 student count has exceeded 100, but is less than 185 may determine the maximum small school adjustment override as follows:</t>
  </si>
  <si>
    <t>Maximum Percent Increase to apply to RCL (.65 minus line 2.e)</t>
  </si>
  <si>
    <t>9-12 Revenue Control Limit</t>
  </si>
  <si>
    <t>9-12 small school budget override limit (line 2.f x line 2.g) (If less than zero, zero is entered)</t>
  </si>
  <si>
    <t>PSD-8 RCL from BSA55</t>
  </si>
  <si>
    <t>Allowable Small School Adjustment, subject to an election (line 1.h plus line 2.h plus line 3)</t>
  </si>
  <si>
    <t>PSD Weighted ADM Percentage</t>
  </si>
  <si>
    <t>RCL from BSA55</t>
  </si>
  <si>
    <t>PSD RCL</t>
  </si>
  <si>
    <t>K-8 Non-Qualifying RCL</t>
  </si>
  <si>
    <t>10% of K-8 Non-Qualifying RCL (to Data Entry tab, line 19)</t>
  </si>
  <si>
    <t>NOTE 1: This section is completed only if the district has indicated that it receives less tuition from a district which is inside or outside of this state because the district of residence began to offer instruction in one or more high school grade levels not previously offered.</t>
  </si>
  <si>
    <t>Base Year Attending ADM Grades 9-12</t>
  </si>
  <si>
    <t>Factor of 5%</t>
  </si>
  <si>
    <t xml:space="preserve">ADM loss required to qualify </t>
  </si>
  <si>
    <t>Number of tuitioned students lost in the year after the base year due to district of residence offering instruction in
grades 9-12 not offered previously</t>
  </si>
  <si>
    <t>NOTE 2: If line 3 is greater than line 4, do not complete the rest of this section.  District does not qualify for an increase in the base support level (BSL).</t>
  </si>
  <si>
    <t>Tuition received in base year</t>
  </si>
  <si>
    <t>Tuition received in fiscal year after base year</t>
  </si>
  <si>
    <t>Tuition loss  (If result is less than zero, zero is entered)</t>
  </si>
  <si>
    <t>BSL Adjustment for the first year after the base year</t>
  </si>
  <si>
    <t>first year factor</t>
  </si>
  <si>
    <t>BSL Adjustment for the second year after the base year</t>
  </si>
  <si>
    <t>second year factor</t>
  </si>
  <si>
    <t>BSL Adjustment for the third year after the base year</t>
  </si>
  <si>
    <t>third year factor</t>
  </si>
  <si>
    <t xml:space="preserve">Increase in BSL for Tuition Loss Adjustment (line 8 + line 9 + line 10) </t>
  </si>
  <si>
    <t xml:space="preserve">NOTE 3: In addition to any adjustment for tuition loss received pursuant to A.R.S. §15-954, a district which loses students from its student count resulting from the formation of a joint unified school district (pursuant to A.R.S. §15-450) and does not receive tuition for those students for the budget year, may increase its BSL (A.R.S. §15-902.01).  </t>
  </si>
  <si>
    <t>A district which loses at least 500 students may increase the BSL:</t>
  </si>
  <si>
    <t>By $650,000 for the first year of the loss.</t>
  </si>
  <si>
    <t>By $600,000 for the second year following the loss.</t>
  </si>
  <si>
    <t>By $500,000 for the third year following the loss.</t>
  </si>
  <si>
    <t>By $300,000 for the fourth year following the loss.</t>
  </si>
  <si>
    <t>By $100,000 for the fifth year following the loss.</t>
  </si>
  <si>
    <t>A union high school district may increase the BSL:</t>
  </si>
  <si>
    <t>By $100,000 if it loses at least 50 students in the first year.</t>
  </si>
  <si>
    <t>By $200,000 if it loses an additional 50 students in the second year.</t>
  </si>
  <si>
    <t>By $325,000 if it loses an additional 50 students in the third year.</t>
  </si>
  <si>
    <t>By $200,000 in the fourth year if it was eligible for the third year loss.</t>
  </si>
  <si>
    <t>By $100,000 in the fifth year if it was eligible for the fourth year loss.</t>
  </si>
  <si>
    <t>ADDITIONAL STATE AID TO EDUCATION (ASAE) INFORMATION FOR DEPARTMENT OF REVENUE (A.R.S. §15-992)</t>
  </si>
  <si>
    <t>Dropout Prevention Program (from page 1, line 27)</t>
  </si>
  <si>
    <t xml:space="preserve">Adjustment for Tuition Loss </t>
  </si>
  <si>
    <t>Liabilities in Excess of School Budget (from TNT Work Sheet, line 13)</t>
  </si>
  <si>
    <t>Vocational M&amp;O Expenses (from page 1, line 28)</t>
  </si>
  <si>
    <t>Adjacent Ways (from TNT Work Sheet, line 12)</t>
  </si>
  <si>
    <t>Phase Down Small School Budget Limit Exemption (based on Calculation of Small School Adjustment Phase Down Limit
section, only if $50,000 option is used without an election)</t>
  </si>
  <si>
    <t>Basic Calculations For Equalization Assistance</t>
  </si>
  <si>
    <t>Is Small Isolated School District:</t>
  </si>
  <si>
    <t>District Page:</t>
  </si>
  <si>
    <t>1 of 5</t>
  </si>
  <si>
    <t xml:space="preserve">Grade Levels    </t>
  </si>
  <si>
    <t>Non-AOI
ADM</t>
  </si>
  <si>
    <t>AOI-FT 
ADM</t>
  </si>
  <si>
    <t>AOI-PT 
ADM</t>
  </si>
  <si>
    <t>Non-AOI 
Weighted ADM</t>
  </si>
  <si>
    <t>AOI-FT 
Weighted ADM</t>
  </si>
  <si>
    <t>AOI-PT
 Weighted ADM</t>
  </si>
  <si>
    <t>K-8,UE</t>
  </si>
  <si>
    <t>Regular Education Unweighted ADM</t>
  </si>
  <si>
    <t>Total of Unweighted ADM</t>
  </si>
  <si>
    <t>Regular Education Weighted ADM</t>
  </si>
  <si>
    <t>Total of Weighted ADM</t>
  </si>
  <si>
    <t>Add Ons</t>
  </si>
  <si>
    <t>K-3 (Reading)</t>
  </si>
  <si>
    <t>MD-R, A-R, SID-R</t>
  </si>
  <si>
    <t>MD-SC, A-SC, SID-SC</t>
  </si>
  <si>
    <t>DD, ED, MIID, SLD, SLI, OHI</t>
  </si>
  <si>
    <t>Group B - Add On Unweighted ADM</t>
  </si>
  <si>
    <t>Total Unweighted Group B Add On</t>
  </si>
  <si>
    <t>Group B - Add On Weighted ADM</t>
  </si>
  <si>
    <t>Total Weighted Group B Add On</t>
  </si>
  <si>
    <t>2 of 5</t>
  </si>
  <si>
    <t>Calculation For Base Support Level</t>
  </si>
  <si>
    <t>Non-AOI 
ADM</t>
  </si>
  <si>
    <t>Total ADM</t>
  </si>
  <si>
    <t>AOI Funding Factor</t>
  </si>
  <si>
    <t>Weighted ADM</t>
  </si>
  <si>
    <t>Total Weighted ADM</t>
  </si>
  <si>
    <t>Base Level Amount (FY24)</t>
  </si>
  <si>
    <t>Total Weighted ADM x Base Level Amount</t>
  </si>
  <si>
    <t>Calculated Teachers Experience Index (FY23)</t>
  </si>
  <si>
    <t>Applied Teachers Experience Index (FY24)</t>
  </si>
  <si>
    <t>(1.0000 or Calculated Teachers Experience Index)</t>
  </si>
  <si>
    <t>Pre-Adjusted Base Support Level</t>
  </si>
  <si>
    <t>Base Support Level Adjustments</t>
  </si>
  <si>
    <t>Audit Service Expense</t>
  </si>
  <si>
    <t>Increase for Tuition Loss Adjustment</t>
  </si>
  <si>
    <t>Increase for Student Revenue Loss Phase-Down</t>
  </si>
  <si>
    <t>Adjustment for Remote Instructional Time calculated by ADE</t>
  </si>
  <si>
    <t>Total Base Support Level Adjustments</t>
  </si>
  <si>
    <t>Adjusted Base Support Level</t>
  </si>
  <si>
    <t>3 of 5</t>
  </si>
  <si>
    <t>Calculation Transportation Support Level (TSL)</t>
  </si>
  <si>
    <t>Calculation For District Support Level (DSL)</t>
  </si>
  <si>
    <t>(Miles, Eligible Students, Bus Passes and Bus Tokens)</t>
  </si>
  <si>
    <t xml:space="preserve">FY24 Adjusted Base Support Level (BSL) </t>
  </si>
  <si>
    <t>Approved Daily Route Miles</t>
  </si>
  <si>
    <t>FY24 Consolidation or Unification Assistance</t>
  </si>
  <si>
    <t xml:space="preserve">          Eligible Students Transported (FY23)</t>
  </si>
  <si>
    <t>FY24 Transportation Support Level (TSL)</t>
  </si>
  <si>
    <t xml:space="preserve">          Daily Route Miles Per Eligible Student (FY23)</t>
  </si>
  <si>
    <t>FY24 District Support Level (DSL)</t>
  </si>
  <si>
    <t xml:space="preserve">          Total Approved Daily Route Miles</t>
  </si>
  <si>
    <t>State Support Level Per Route Mile</t>
  </si>
  <si>
    <t>Instruction Days</t>
  </si>
  <si>
    <t>Calculation For Revenue Control Limit (RCL)</t>
  </si>
  <si>
    <t>To and From School Support Level</t>
  </si>
  <si>
    <t>FY24 Adjusted Base Support Level (BSL)</t>
  </si>
  <si>
    <r>
      <rPr>
        <sz val="8"/>
        <color indexed="12"/>
        <rFont val="Times New Roman"/>
        <family val="1"/>
      </rPr>
      <t xml:space="preserve">          </t>
    </r>
    <r>
      <rPr>
        <u/>
        <sz val="8"/>
        <color indexed="12"/>
        <rFont val="Times New Roman"/>
        <family val="1"/>
      </rPr>
      <t>Activity Trip Level Factor</t>
    </r>
  </si>
  <si>
    <t xml:space="preserve">          Activity Trip Support Level</t>
  </si>
  <si>
    <t>FY24 Transportation Revenue Control Limit (TRCL)</t>
  </si>
  <si>
    <t>Handicapped Extended School Year Mileage (FY23)</t>
  </si>
  <si>
    <t>FY24 Revenue Control Limit (RCL)</t>
  </si>
  <si>
    <t>Handicapped Extended School Year Support Level</t>
  </si>
  <si>
    <t>FY24 Lesser of DSL/RCL</t>
  </si>
  <si>
    <t>Annual Expenditures For:</t>
  </si>
  <si>
    <t>Bus Passes</t>
  </si>
  <si>
    <t>Bus Tokens</t>
  </si>
  <si>
    <t xml:space="preserve">     Districts (FY23)</t>
  </si>
  <si>
    <t>Calculation For Transportation Revenue Control Limit (TRCL)</t>
  </si>
  <si>
    <t>FY23 Transportation Revenue Control Limit (TRCL)</t>
  </si>
  <si>
    <t>Change:</t>
  </si>
  <si>
    <t>FY24 TSL</t>
  </si>
  <si>
    <t>FY23 TSL         -</t>
  </si>
  <si>
    <t>Difference:             $</t>
  </si>
  <si>
    <t>Preliminary FY24 TRCL</t>
  </si>
  <si>
    <t>120% of FY24 TSL</t>
  </si>
  <si>
    <t>4 of 5</t>
  </si>
  <si>
    <t>District Additional Assistance (DAA) Calculations</t>
  </si>
  <si>
    <t>Type 03 Transported 9-12</t>
  </si>
  <si>
    <t>FY23 District ADM</t>
  </si>
  <si>
    <t>DAA Per ADM</t>
  </si>
  <si>
    <t>Preliminary DAA</t>
  </si>
  <si>
    <t>(*For Type 03 High School Only, Per Student Count Factor at 50%)</t>
  </si>
  <si>
    <t>DAA Growth Factor</t>
  </si>
  <si>
    <t>FY22 District ADM</t>
  </si>
  <si>
    <t>/</t>
  </si>
  <si>
    <t>FY24 Calculated DAA Growth Factor</t>
  </si>
  <si>
    <t>FY24 Applied DAA Growth Factor</t>
  </si>
  <si>
    <t>(1.0000 or Calculated DAA Growth Factor If greater than 1.05, use 1 plus 50% of growth.)</t>
  </si>
  <si>
    <t>District DAA</t>
  </si>
  <si>
    <t>DAA For High School Textbooks</t>
  </si>
  <si>
    <t>FY23 District High School ADM</t>
  </si>
  <si>
    <t>Support Level Amount For Textbooks</t>
  </si>
  <si>
    <t>PSD-8</t>
  </si>
  <si>
    <t>Pre-Adjusted DAA Base Allocation</t>
  </si>
  <si>
    <t>Total DAA Adjustments</t>
  </si>
  <si>
    <t>Adjusted FY24 DAA Base Allocation</t>
  </si>
  <si>
    <t>5 of 5</t>
  </si>
  <si>
    <t>Equalization Base for Lesser of DSL/RCL</t>
  </si>
  <si>
    <t>Lesser of DSL or RCL</t>
  </si>
  <si>
    <t xml:space="preserve">Weighted ADM                                  </t>
  </si>
  <si>
    <t>Percentage</t>
  </si>
  <si>
    <t>FY24 DSL/RCL Allocation</t>
  </si>
  <si>
    <t>Equalization Assessed Valuation</t>
  </si>
  <si>
    <t>9 -12</t>
  </si>
  <si>
    <t>Primary Assessed Valuation 1 (NAV1)</t>
  </si>
  <si>
    <t>Primary Assessed Valuation 2 (NAV2)</t>
  </si>
  <si>
    <t>SRP Assessed Valuation</t>
  </si>
  <si>
    <t>GPLET Assessed Valuation</t>
  </si>
  <si>
    <t>Equalization Assessed Valuation</t>
  </si>
  <si>
    <t>Qualifying Tax Rate</t>
  </si>
  <si>
    <t>FY24 Qualifying Levy</t>
  </si>
  <si>
    <t>Calculation of Equalization Assistance</t>
  </si>
  <si>
    <t>DSL/RCL Allocation</t>
  </si>
  <si>
    <t>Adjusted CY DAA Base Allocation</t>
  </si>
  <si>
    <t>FY24 Equalization Base</t>
  </si>
  <si>
    <t>FY24 Applied Qualifying Levy</t>
  </si>
  <si>
    <t>FY24 Equalization Assistance</t>
  </si>
  <si>
    <t>Page</t>
  </si>
  <si>
    <t>Reference</t>
  </si>
  <si>
    <t>Instructions</t>
  </si>
  <si>
    <t>Revision Instructions</t>
  </si>
  <si>
    <t>Summary of Significant Changes</t>
  </si>
  <si>
    <t>General</t>
  </si>
  <si>
    <r>
      <t xml:space="preserve">These instructions are provided to help school districts prepare the expenditure budget. Within the forms, blue font and light blue highlights indicate that an instruction is linked to that specific line. An instructions button has also been provided that links to any general instructions or to the first instruction for a page. To return to the related form after reviewing the instructions, simply click on the form’s tab at the bottom of the Excel screen or press the Alt and back arrow keys. 
Districts should complete the Data Entry page and Supplement, as applicable, </t>
    </r>
    <r>
      <rPr>
        <u/>
        <sz val="14"/>
        <rFont val="Times New Roman"/>
        <family val="1"/>
      </rPr>
      <t>before</t>
    </r>
    <r>
      <rPr>
        <sz val="14"/>
        <rFont val="Times New Roman"/>
        <family val="1"/>
      </rPr>
      <t xml:space="preserve"> completing pages 1 through 8. To ensure that the district’s data can be properly processed by ADE, formulas should not be changed without specific instructions from either the Arizona Auditor General's Office, Accountability Services Division, or ADE, School Finance.
Select the link below for more information.</t>
    </r>
  </si>
  <si>
    <t>Data Entry page instructions</t>
  </si>
  <si>
    <t>A summary of significant changes to this document is included in column E. Filter the column to remove blank cells to see only the areas with significant changes.</t>
  </si>
  <si>
    <t>Significant changes to this document are identified in this column.</t>
  </si>
  <si>
    <t>Budget Revision</t>
  </si>
  <si>
    <t>Instructions for budget revision requirements have been incorporated into this document for each applicable line item. All lines that include revision instructions have a "Yes" in the Revision Instructions column to the right. To see only the revision instructions apply the filter so that only rows marked "Yes" will show. 
Prior to May 15 of the budget year, districts must make all of the revisions described in these instructions that would result in a decrease in budget limits and districts may make any of the described revisions that result in an increase in budget limits. Total expenditures in the Maintenance and Operation (M&amp;O), Unrestricted Capital Outlay (UCO), and Classroom Site Funds (CSF) must not exceed the adjusted General Budget Limit (GBL), Unrestricted Capital Budget Limit (UCBL), and Classroom Site Fund Budget Limit (CSFBL), respectively, as reported on pages 7, 8, and 3 of the latest revised budget. Therefore, if the net change to any of these budget limits is a decrease, the district must reduce budgeted expenditures in the related fund, to ensure that the budgeted amounts are within the prescribed limit. If the net change to any of these budget limits is an increase, the district may choose to revise budgeted expenditures in the related fund.</t>
  </si>
  <si>
    <t>Yes</t>
  </si>
  <si>
    <t>Budget Revision Continued</t>
  </si>
  <si>
    <r>
      <t>All districts must revise the FY 2024 budget to include the 2023 (prior year) and 2024 (current year) 100th-Day ADM from the applicable year's ADM20 report.</t>
    </r>
    <r>
      <rPr>
        <strike/>
        <sz val="14"/>
        <rFont val="Times New Roman"/>
        <family val="1"/>
      </rPr>
      <t xml:space="preserve"> </t>
    </r>
    <r>
      <rPr>
        <sz val="14"/>
        <rFont val="Times New Roman"/>
        <family val="1"/>
      </rPr>
      <t xml:space="preserve">
</t>
    </r>
  </si>
  <si>
    <t>Cover</t>
  </si>
  <si>
    <t>District Tax Rates</t>
  </si>
  <si>
    <t>District tax rates for FY 2023 should be the actual tax rates set by the County Board of Supervisors in August 2022. Tax rates for FY 2024 should be the district’s best estimate. Districts should include detailed secondary tax rates for M&amp;O, Special Program, and Capital Overrides; Class A Bonds; Class B Bonds; Career Technical Education District (CTED); and Desegregation. Class A Bonds are general obligation bonds approved by voters on or before December 31, 1998. Class B Bonds are general obligation bonds approved by voters after December 31, 1998.</t>
  </si>
  <si>
    <t>Average Teacher Salaries</t>
  </si>
  <si>
    <r>
      <t xml:space="preserve">In accordance with A.R.S. §15-903(E), a district's budget must include the prominent display of the average salary of all teachers employed by the district for the budget and prior years, and the increase in the average salary of all teachers employed by the district for the budget year reported in dollars and percentage. Districts must also prominently post this information on their website home pages separate from their budgets. The law does not provide a definition of a teacher. Districts should be consistent in the type of salary information included in this table from year to year. An optional comment box is available to provide details on the average teacher salary calculation used by the district.
</t>
    </r>
    <r>
      <rPr>
        <b/>
        <sz val="14"/>
        <rFont val="Times New Roman"/>
        <family val="1"/>
      </rPr>
      <t xml:space="preserve">Budget Revision
</t>
    </r>
    <r>
      <rPr>
        <sz val="14"/>
        <rFont val="Times New Roman"/>
        <family val="1"/>
      </rPr>
      <t>Districts should revise the average teacher salary information any time a revised budget is submitted to ADE.</t>
    </r>
  </si>
  <si>
    <t>District Contact Info</t>
  </si>
  <si>
    <r>
      <t xml:space="preserve">Fill in the contact information for all positions listed on this tab. If any of the positions don't exist at your district, please fill in the appropriate person to contact related to that topic.
</t>
    </r>
    <r>
      <rPr>
        <b/>
        <sz val="14"/>
        <rFont val="Times New Roman"/>
        <family val="1"/>
      </rPr>
      <t xml:space="preserve">Budget Revision
</t>
    </r>
    <r>
      <rPr>
        <sz val="14"/>
        <rFont val="Times New Roman"/>
        <family val="1"/>
      </rPr>
      <t xml:space="preserve">Districts should revise contact information, if necessary, any time a revised budget is submitted to ADE. </t>
    </r>
  </si>
  <si>
    <t>Line 4</t>
  </si>
  <si>
    <t xml:space="preserve">Function code 2300, object code 6820-Judgments Against the District should be used to budget for excessive property tax valuation judgments to be paid in FY 2024. This amount should also be included on page 7, line 8(h). Pre-approval by ADE is required. Contact ADE’s School Finance payment team at the email address below. </t>
  </si>
  <si>
    <t>SFPaymentTeam@azed.gov</t>
  </si>
  <si>
    <t>Line 9</t>
  </si>
  <si>
    <r>
      <rPr>
        <b/>
        <sz val="14"/>
        <rFont val="Times New Roman"/>
        <family val="1"/>
      </rPr>
      <t>Budget Revision</t>
    </r>
    <r>
      <rPr>
        <sz val="14"/>
        <rFont val="Times New Roman"/>
        <family val="1"/>
      </rPr>
      <t xml:space="preserve">
Districts participating in the National School Lunch Program that have not already budgeted for the state matching requirements, should include any amounts to be expended for their food service program in the M&amp;O Fund on this line before May 15. ADE’s Health &amp; Nutrition Services will verify that amounts budgeted were spent when the annual financial reports are submitted. Any questions related to the state matching requirements should be directed to ADE’s Health &amp; Nutrition Services at (602) 542-8700.</t>
    </r>
  </si>
  <si>
    <t>Line 27</t>
  </si>
  <si>
    <t>A district authorized by ADE to continue participation in Dropout Prevention Programs for FY 2024 pursuant to Laws 1992, Ch. 305, §32 and Laws 2000, Ch. 398, §2, must budget the additional amount on this line.</t>
  </si>
  <si>
    <t>Line 28</t>
  </si>
  <si>
    <r>
      <t xml:space="preserve">A district that has entered into an intergovernmental agreement to establish a jointly owned and operated career and technical education and vocational education center, in accordance with A.R.S. §15-789, should budget for the center’s expenditures on this line. A.R.S. §15‑910.01 </t>
    </r>
    <r>
      <rPr>
        <b/>
        <sz val="14"/>
        <rFont val="Times New Roman"/>
        <family val="1"/>
      </rPr>
      <t xml:space="preserve">This provision does not apply to CTEDs established pursuant to A.R.S. §15-392. 
</t>
    </r>
    <r>
      <rPr>
        <sz val="14"/>
        <rFont val="Times New Roman"/>
        <family val="1"/>
      </rPr>
      <t xml:space="preserve">A.R.S. §15-910.01 requires the State Board of Education (SBE) approval prior to including an amount here. </t>
    </r>
    <r>
      <rPr>
        <b/>
        <sz val="14"/>
        <rFont val="Times New Roman"/>
        <family val="1"/>
      </rPr>
      <t>Currently, no districts have been authorized by the SBE.</t>
    </r>
  </si>
  <si>
    <t>Line 29</t>
  </si>
  <si>
    <r>
      <t>Districts should budget for K-3 Reading Program expenditures on this line.  The State Board of Education must give approval to a district before any portion of the monies generated by the K-3 reading support level weight may be distributed to the district. A.R.S. §15-211</t>
    </r>
    <r>
      <rPr>
        <strike/>
        <sz val="14"/>
        <rFont val="Times New Roman"/>
        <family val="1"/>
      </rPr>
      <t xml:space="preserve">
</t>
    </r>
    <r>
      <rPr>
        <sz val="14"/>
        <rFont val="Times New Roman"/>
        <family val="1"/>
      </rPr>
      <t>Contact ADE’s Move on When Reading program area with questions concerning the K-3 Reading plan requirement and approval status at the link below.</t>
    </r>
  </si>
  <si>
    <t>http://www.azed.gov/mowr/</t>
  </si>
  <si>
    <t>Spec. Ed. by Type</t>
  </si>
  <si>
    <t xml:space="preserve">All expenditures budgeted in the M&amp;O Fund for special education programs should be included regardless of the revenue source (e.g., state equalization assistance and property taxes). Districts should retain supporting documentation for the allocation of expenditures budgeted for individual special education programs. Supporting documentation should include a list of the programs, the number of teachers and students by program, and all computation work sheets. However, districts should budget total expenditures in Program 200—Special Education for disability classifications defined in A.R.S. §15-761 on line 1, Total All Disability Classifications.
</t>
  </si>
  <si>
    <t>Spec. Ed by Type - Lines 4 and 5</t>
  </si>
  <si>
    <t xml:space="preserve">Program code 260—ELL Incremental Costs and program code 265—ELL Compensatory Instruction are required to track expenditures related to English Language Learners (ELL). See Supplement instructions for more information on ELL. </t>
  </si>
  <si>
    <t>FTE Certified Employees</t>
  </si>
  <si>
    <r>
      <t>Include</t>
    </r>
    <r>
      <rPr>
        <b/>
        <sz val="14"/>
        <rFont val="Times New Roman"/>
        <family val="1"/>
      </rPr>
      <t xml:space="preserve"> all</t>
    </r>
    <r>
      <rPr>
        <sz val="14"/>
        <rFont val="Times New Roman"/>
        <family val="1"/>
      </rPr>
      <t xml:space="preserve"> certified personnel filling certified positions at the district. </t>
    </r>
  </si>
  <si>
    <t>Audit Services</t>
  </si>
  <si>
    <r>
      <t xml:space="preserve">Enter the budgeted expenditures for nonfederal program and compliance audits (required object code 6350) to be paid from the M&amp;O Fund only, and the budgeted expenditures for federal single audits (optional object code 6330) from </t>
    </r>
    <r>
      <rPr>
        <u/>
        <sz val="14"/>
        <rFont val="Times New Roman"/>
        <family val="1"/>
      </rPr>
      <t>all</t>
    </r>
    <r>
      <rPr>
        <sz val="14"/>
        <rFont val="Times New Roman"/>
        <family val="1"/>
      </rPr>
      <t xml:space="preserve"> funds.</t>
    </r>
  </si>
  <si>
    <t>M&amp;O for Food Service</t>
  </si>
  <si>
    <r>
      <t xml:space="preserve">Districts participating in the National School Lunch Program are required to budget a portion of their state revenues to support the operation of their food service program. Districts should budget in the M&amp;O Fund any amounts that will be expended during the 2024 school year for the operation of the food service program. Any questions related to the state matching requirements should be directed to ADE’s Health &amp; Nutrition Services at (602) 542‑8700.
</t>
    </r>
    <r>
      <rPr>
        <b/>
        <sz val="14"/>
        <rFont val="Times New Roman"/>
        <family val="1"/>
      </rPr>
      <t>Budget Revision</t>
    </r>
    <r>
      <rPr>
        <sz val="14"/>
        <rFont val="Times New Roman"/>
        <family val="1"/>
      </rPr>
      <t xml:space="preserve">
Districts that have not already budgeted for the state matching requirements, should include any amounts to be expended for their food service program in the M&amp;O Fund on this line before May 15. ADE’s Health &amp; Nutrition Services will verify that amounts budgeted were spent when the annual financial reports are submitted.</t>
    </r>
  </si>
  <si>
    <t xml:space="preserve">The Classroom Site Fund (CSF) is a budget-controlled fund that must be used to supplement, rather than supplant, existing monies. Expenditures made from the Classroom Site Fund (010) should be made in accordance with the requirements of A.R.S. §15-977. Districts may establish any CSF subfunds 011-019 to track monies for specific allowable purposes or separately account for carryover balances and other one-time CSF monies.  One total budget for all Classroom Site monies must be reported here, in Fund 010. 
 </t>
  </si>
  <si>
    <t xml:space="preserve">Line 4 should include expenditures for teacher liability insurance premiums made from Fund 010. </t>
  </si>
  <si>
    <t xml:space="preserve">The total amount budgeted on line 9 cannot exceed the CSFBL on line 16. The total amount budgeted in FY 2024 will affect the next year’s CSFBL. Districts should budget up to the Classroom Site Fund Budget Limit (CSFBL) as calculated on lines 10 through 16. See A.R.S. §15-978 and the calculation below. 
</t>
  </si>
  <si>
    <t>Line 11</t>
  </si>
  <si>
    <r>
      <rPr>
        <b/>
        <sz val="14"/>
        <rFont val="Times New Roman"/>
        <family val="1"/>
      </rPr>
      <t>Budget Revision</t>
    </r>
    <r>
      <rPr>
        <sz val="14"/>
        <rFont val="Times New Roman"/>
        <family val="1"/>
      </rPr>
      <t xml:space="preserve">
Line 11 should reflect total actual CSF expenditures as reported on the district’s FY 2023 AFR.</t>
    </r>
  </si>
  <si>
    <t>Line 13</t>
  </si>
  <si>
    <r>
      <rPr>
        <b/>
        <sz val="14"/>
        <rFont val="Times New Roman"/>
        <family val="1"/>
      </rPr>
      <t>Budget Revision</t>
    </r>
    <r>
      <rPr>
        <sz val="14"/>
        <rFont val="Times New Roman"/>
        <family val="1"/>
      </rPr>
      <t xml:space="preserve">
This line should agree to the total actual interest earned on CSF investments, as reported on the FY 2023 AFR for the CSF.</t>
    </r>
  </si>
  <si>
    <t>Line 14</t>
  </si>
  <si>
    <t>https://schoolfinancereports.azed.gov/</t>
  </si>
  <si>
    <t>Line 15</t>
  </si>
  <si>
    <t>Some districts have lost CSF budget capacity from budgeting less than the CSFBL in prior years. This line may be used to recapture that budget capacity. Districts that need assistance with the adjustment should contact ADE’s budget team.</t>
  </si>
  <si>
    <t>Line 10</t>
  </si>
  <si>
    <t>The amount budgeted in the UCO Fund cannot exceed the Unrestricted Capital Budget Limit (UCBL) on page 8, line 12. The amount budgeted in Fund 610 in FY 2024 will affect the next year’s UCBL. See A.R.S. §15-947(D) and calculation on page 8.</t>
  </si>
  <si>
    <t>Footnote 5</t>
  </si>
  <si>
    <r>
      <t xml:space="preserve">Districts participating in the National School Lunch Program are required to budget a portion of their state revenues to support the operation of their food service program. Districts should budget in the UCO Fund any amounts that will be expended during the FY 2024 school year for the food service program. Any questions related to the state matching requirements should be directed to ADE’s Health &amp; Nutrition Services at (602) 542‑8700.
</t>
    </r>
    <r>
      <rPr>
        <b/>
        <sz val="14"/>
        <rFont val="Times New Roman"/>
        <family val="1"/>
      </rPr>
      <t>Budget Revision</t>
    </r>
    <r>
      <rPr>
        <sz val="14"/>
        <rFont val="Times New Roman"/>
        <family val="1"/>
      </rPr>
      <t xml:space="preserve"> 
Districts that have not already budgeted for the state matching requirements, should include any amounts to be expended for their food service program in the UCO Fund on this line before May 15. ADE’s Health &amp; Nutrition Services will verify that amounts budgeted were spent when the annual financial reports are submitted.
</t>
    </r>
  </si>
  <si>
    <r>
      <t>Other Funds</t>
    </r>
    <r>
      <rPr>
        <sz val="14"/>
        <rFont val="Franklin Gothic Medium"/>
        <family val="2"/>
      </rPr>
      <t xml:space="preserve">—
</t>
    </r>
    <r>
      <rPr>
        <sz val="14"/>
        <rFont val="Times New Roman"/>
        <family val="1"/>
      </rPr>
      <t xml:space="preserve">Required Capital Expenditure Detail  for Funds 610, 630, 695, &amp; 620
</t>
    </r>
  </si>
  <si>
    <t>In accordance with A.R.S. §15-904(B), detailed budgeted and actual expenditures for only the items listed in lines 2-11 must be reported from the UCO (610), Bond Building (630), New School Facilities (695), and Adjacent Ways (620) Funds. The amounts reported on lines 2-11 may not include all expenditures of these funds as shown on line 1. Total budgeted expenditures for each fund should be included on line 1 of the table. 
In addition, these detailed expenditures reported on lines 2-11 must be separately reported as new construction or renovation on lines 13-15. If the designation of new construction or renovation does not apply to a particular expenditure reported on lines 2-11, the amount should be reported as "Other."  Therefore, total budgeted expenditures for the detailed object codes listed for each fund as reported on line 12 must agree to the total amounts reported on line 16, by fund. Amounts on lines 12 and 16 may be less than the amounts on line 1 for each fund.</t>
  </si>
  <si>
    <t>Adjacent Ways Fund</t>
  </si>
  <si>
    <t>In accordance with A.R.S. §15-995, each adjacent ways project proposal must be filed with ADOA's Division of School Facilities and include the project cost estimate. If the entire project cost for the adjacent ways project is greater than $50,000, the expenditure cannot be made unless the Division of School Facilities validates both of the following:
-The project that is proposed to be funded by the assessment is in compliance with state laws relating to adjacent ways projects.
-The proposal selected by the district does not contain any additional work that is not listed in the adjacent ways proposal submitted by the district.</t>
  </si>
  <si>
    <t>Federal Projects, Line 16</t>
  </si>
  <si>
    <t>Districts that receive Impact Aid monies should deposit them in Fund 378—Impact Aid. Monies in the fund are federal monies not subject to legislative appropriation. All districts that receive Impact Aid revenue should complete the Districts Receiving Federal Impact Aid Revenues portion of the Other Information section on the Data Entry tab to calculate the amount available to be spent in the Impact Aid Fund.</t>
  </si>
  <si>
    <t>Federal Projects, Line 17</t>
  </si>
  <si>
    <t>State Projects, Line 26</t>
  </si>
  <si>
    <t>In accordance with A.R.S. §15-249.06, monies received from the college credit by examination incentive program should be deposited in Fund 456—College Credit Exam Incentives. At least 50% of the incentive bonus monies received from this program must be distributed to the associated classroom teacher for each student who passes a qualifying exam and to other teachers of relevant subjects who instructed that student, including but not limited to teachers in the same department or subject matter that contributed to the student passing the examination, as identified by the governing board or the school principal. The remainder of any bonus monies received from this program must be allocated by the school principal on behalf of the students who receive a passing score and may be used for teacher professional development or student instructional support, reimbursement of exam fees, or instructional materials.</t>
  </si>
  <si>
    <t>State Projects, Line 28</t>
  </si>
  <si>
    <t>Budgeted expenditures related to monies remaining in Fund 457—Results-based Funding should be reported on line 28—Other State Projects, along with any other State project funds not included on lines 19 through 27 above.</t>
  </si>
  <si>
    <t>Other Funds, Lines 2 and 3</t>
  </si>
  <si>
    <t xml:space="preserve">Funds 071 and 072 should be budgeted in detail on the Supplement. Fund totals will pull to these lines. See the instructions for the Supplement for additional information. 
</t>
  </si>
  <si>
    <t>Other Funds, Line 4</t>
  </si>
  <si>
    <t>In accordance with A.R.S. §15-1102, the proceeds from the sale or lease of school district property should be deposited in the School Plant Fund (500). Expenditures made from the School Plant Fund (500) should be made in accordance with the requirements of A.R.S. §15-1102. Districts may establish sub funds for School Plant in funds 501-504 to account for monies received that are restricted to different purposes by statute, but one total budget for all related monies must be reported here in Fund 500.</t>
  </si>
  <si>
    <t>Other Funds
Line 24</t>
  </si>
  <si>
    <t>In accordance with A.R.S. §15-249.15, monies received to provide incentive awards for high school graduates who obtain a certification, credential, or license that is accepted by a vocation or industry through a career technical education course or program should be deposited in Fund 597—Arizona Industry Credentials Incentive Fund. 
Expenditures from Fund 597 should be made for only the following purposes:
1. For instructional costs and professional development for a career technical education program teacher to become a certifying professional for an approved certificate, credential, or license.
2. To offset the students' cost of certification, credentialing, or licensure.
3. For developmental costs related to creating, expanding or improving an approved site of a certificate, credential, or license career technical program or course.
4. For instructional hardware, software, or supplies required for the certification, credentialing, or licensure.
5. For career exploration in any school grade and awareness activities for parents, students, and the community for the approved sectors.</t>
  </si>
  <si>
    <t>Other Funds
Line 29</t>
  </si>
  <si>
    <t>In accordance with A.R.S. §41-5721, before applying to ADOA's Division of School Facilities for funding for an emergency, the district's governing board must issue an emergency declaration or resolution to be eligible for monies from the Emergency Deficiencies Correction Fund. To qualify as an emergency, the situation must fit the criteria in A.R.S. §41-5721(F).</t>
  </si>
  <si>
    <t>Other Funds
Line 30</t>
  </si>
  <si>
    <t>In accordance with A.R.S. §41-5731, districts must submit a preventive maintenance plan to ADOA's Division of School Facilities to be eligible to receive monies from the Building Renewal Grant Fund.</t>
  </si>
  <si>
    <t>Other Funds Line 33</t>
  </si>
  <si>
    <t xml:space="preserve">Include expenditures for Fund 850—Student Activities on this line, as it is no longer a fiduciary fund.
</t>
  </si>
  <si>
    <t>Other Funds, Line 34</t>
  </si>
  <si>
    <r>
      <t>Budgeted expenditures related to monies remaining in Fund 080—Student Success Fund should be reported on line 34</t>
    </r>
    <r>
      <rPr>
        <sz val="14"/>
        <rFont val="Calibri"/>
        <family val="2"/>
      </rPr>
      <t>—</t>
    </r>
    <r>
      <rPr>
        <sz val="14"/>
        <rFont val="Times New Roman"/>
        <family val="1"/>
      </rPr>
      <t>Other, along with any other funds not included elsewhere in the budget.</t>
    </r>
  </si>
  <si>
    <t>Internal Service Funds, 
Line 2</t>
  </si>
  <si>
    <t>Include all expenditures for Intergovernmental Agreements (IGAs) in this line. If the district uses funds other than 955 to separately account for multiple IGAs, all IGA fund expenditures should be totaled and reported on this line.</t>
  </si>
  <si>
    <r>
      <t xml:space="preserve">For budget adoption, districts may apportion amounts on this page between the M&amp;O and UCO Funds. After original adoption, and prior to May 15 of the budget year, amounts may be reapportioned based on the budgetary needs of the district, unless otherwise indicated on Budget, page 7, or in the following instructions.
Record in column A on this page all amounts budgeted for use in the M&amp;O Fund (to be included in the GBL). Record in column B all amounts budgeted for use in the UCO Fund (to be carried over to the calculations on Budget, page 8).
</t>
    </r>
    <r>
      <rPr>
        <b/>
        <sz val="14"/>
        <rFont val="Times New Roman"/>
        <family val="1"/>
      </rPr>
      <t xml:space="preserve">Budget Revision </t>
    </r>
    <r>
      <rPr>
        <sz val="14"/>
        <rFont val="Times New Roman"/>
        <family val="1"/>
      </rPr>
      <t xml:space="preserve">
When actual amounts are required, use the actual amount to date plus the estimated amount for the remainder of the fiscal year. After the May 15 budget revision, amounts </t>
    </r>
    <r>
      <rPr>
        <b/>
        <sz val="14"/>
        <rFont val="Times New Roman"/>
        <family val="1"/>
      </rPr>
      <t>cannot</t>
    </r>
    <r>
      <rPr>
        <sz val="14"/>
        <rFont val="Times New Roman"/>
        <family val="1"/>
      </rPr>
      <t xml:space="preserve"> be reallocated between M&amp;O and UCO. </t>
    </r>
  </si>
  <si>
    <t>Line 1</t>
  </si>
  <si>
    <r>
      <t xml:space="preserve">After completing the Data Entry tab, the amount of the district RCL from the BSA55 tab, page 3 will pull to line 1.
</t>
    </r>
    <r>
      <rPr>
        <b/>
        <sz val="14"/>
        <rFont val="Times New Roman"/>
        <family val="1"/>
      </rPr>
      <t xml:space="preserve">Budget Revision
</t>
    </r>
    <r>
      <rPr>
        <sz val="14"/>
        <rFont val="Times New Roman"/>
        <family val="1"/>
      </rPr>
      <t>For budget revision, the Data Entry tab should be revised and the recalculated RCL will pull to line 1. See budget revision instructions for the Data Entry tab.</t>
    </r>
  </si>
  <si>
    <t>Lines 2(a)-(c)</t>
  </si>
  <si>
    <r>
      <rPr>
        <b/>
        <sz val="14"/>
        <rFont val="Times New Roman"/>
        <family val="1"/>
      </rPr>
      <t>Budget Revision</t>
    </r>
    <r>
      <rPr>
        <sz val="14"/>
        <rFont val="Times New Roman"/>
        <family val="1"/>
      </rPr>
      <t xml:space="preserve">
Compare the amount for District Additional Assistance (DAA) on lines 2(c) to the applicable amount calculated by ADE on page 1 of the most recent FY 2024 BUDG25 Report. The amounts on lines (a) and (b) can be reconciled to page 4 of the district's most recent FY 2024 BSA 55-1 report from ADE. </t>
    </r>
  </si>
  <si>
    <t>Line 2(b)</t>
  </si>
  <si>
    <t>After completing the Data Entry tab, the DAA adjustment amount from BSA55 tab, page 4 will pull to this line, if any.</t>
  </si>
  <si>
    <t>Line 3</t>
  </si>
  <si>
    <r>
      <t xml:space="preserve">Do not include any overrides authorized to use excess Impact Aid cash on these lines.
Districts should use prior year ADM to calculate the RCL for overrides (A.R.S. §15-943). Districts may recalculate their RCL based on prior year ADM in a separate copy of this budget file. </t>
    </r>
    <r>
      <rPr>
        <b/>
        <u/>
        <sz val="14"/>
        <rFont val="Times New Roman"/>
        <family val="1"/>
      </rPr>
      <t>Do not</t>
    </r>
    <r>
      <rPr>
        <sz val="14"/>
        <rFont val="Times New Roman"/>
        <family val="1"/>
      </rPr>
      <t xml:space="preserve"> submit this separate copy of the file to ADE. Alternatively, districts can get weighted student counts from page 2 of ADE's FY 2023 "BSA Equalization Report", BSA 55-1. ADE has also posted a link to an override calculation worksheet that may be used as a guide in estimating the override amount. The override calculation worksheet and instructions can be found at the link below.</t>
    </r>
  </si>
  <si>
    <t>https://www.azed.gov/sites/default/files/2022/06/MO%20Override%20Estimator%20FY23.xlsm</t>
  </si>
  <si>
    <t>Line 3(a)</t>
  </si>
  <si>
    <t>See Line 3 Instructions above.
If the voters in the override election authorize the district to exceed the RCL, and the increase is to be fully funded by revenues other than property taxes [A.R.S. §15‑481(F)], only revenues derived from the FY 2023 ending cash balance in the M&amp;O Fund [after the primary tax rate is reduced to zero as required by A.R.S. §15‑481(T)] may be used. A.R.S. §15‑481(P) Note: Districts will not be able to fund an override with Impact Aid monies in FY 2024, as Impact Aid monies are accounted for in the Impact Aid Fund.</t>
  </si>
  <si>
    <t>Line 3(a) Continued</t>
  </si>
  <si>
    <t>The maximum amount a district may request for an M&amp;O budget override is 15% of the district’s RCL. If the district also requests a Special Program override pursuant to A.R.S. §15-482, the maximum amount a district may request for an M&amp;O override is 10% of the RCL. A.R.S. §15-481(G)</t>
  </si>
  <si>
    <t>Line 3(b)</t>
  </si>
  <si>
    <r>
      <t xml:space="preserve">See Line 3 Instructions above.
If the voters in the override election authorize the district to exceed the Capital Outlay Revenue Limit or District Additional Assistance and the increase is to be </t>
    </r>
    <r>
      <rPr>
        <b/>
        <sz val="14"/>
        <rFont val="Times New Roman"/>
        <family val="1"/>
      </rPr>
      <t>fully funded by revenues other than property taxes</t>
    </r>
    <r>
      <rPr>
        <sz val="14"/>
        <rFont val="Times New Roman"/>
        <family val="1"/>
      </rPr>
      <t xml:space="preserve"> [A.R.S. §15‑481(M)], only revenues derived from the FY 2023 ending cash balance in the M&amp;O and UCO Funds [after the primary tax rate is reduced to zero as required by A.R.S. §15‑481(T)] may be used. A.R.S. §15‑481(S) </t>
    </r>
    <r>
      <rPr>
        <b/>
        <sz val="14"/>
        <rFont val="Times New Roman"/>
        <family val="1"/>
      </rPr>
      <t>Note: Districts will not be able to fund an override with Impact Aid monies in FY 2024, as Impact Aid monies are accounted for in the Impact Aid Fund.</t>
    </r>
    <r>
      <rPr>
        <sz val="14"/>
        <rFont val="Times New Roman"/>
        <family val="1"/>
      </rPr>
      <t xml:space="preserve">
The maximum amount a district may request for a capital budget override is 10% of the RCL. A.R.S. §15‑481(AA)</t>
    </r>
  </si>
  <si>
    <t>Line 3(c)</t>
  </si>
  <si>
    <r>
      <t xml:space="preserve">See Line 3 Instructions above.
A.R.S. §15-482 allows a district to request a budget override for programs designed for preschool students with disabilities and students enrolled in kindergarten through grade 12. The amount for the Special Program override may not exceed 5% of the RCL.
If the voters in the override election authorize the district to exceed the RCL, and the increase is to be fully funded by revenues other than property taxes [A.R.S. §15‑481(J)], the increase may only be budgeted and expended if sufficient monies are available in the M&amp;O Fund. A.R.S. §15‑481(Q) </t>
    </r>
    <r>
      <rPr>
        <b/>
        <sz val="14"/>
        <rFont val="Times New Roman"/>
        <family val="1"/>
      </rPr>
      <t>Note: Districts will not be able to fund an override with Impact Aid monies in FY 2024, as Impact Aid monies are accounted for in the Impact Aid Fund.</t>
    </r>
  </si>
  <si>
    <t xml:space="preserve">Lines 3(a)-(c) </t>
  </si>
  <si>
    <r>
      <rPr>
        <b/>
        <sz val="14"/>
        <rFont val="Times New Roman"/>
        <family val="1"/>
      </rPr>
      <t>Budget Revision</t>
    </r>
    <r>
      <rPr>
        <sz val="14"/>
        <rFont val="Times New Roman"/>
        <family val="1"/>
      </rPr>
      <t xml:space="preserve">
If the RCL originally used to calculate an override was reduced after budget adoption, the district must recalculate the maximum M&amp;O, UCO, and Special Program override amounts in accordance with the instructions above. Arizona Attorney General Opinion I90‑020 prohibits districts from recalculating overrides based on an increase in the RCL after secondary taxes have been levied for the applicable year. The amounts reported on lines 3(a) through (c) may not exceed the lesser of the original or recalculated maximum override amounts.</t>
    </r>
  </si>
  <si>
    <r>
      <t xml:space="preserve">Districts with a student count of 125 or less in grades K‑8, or 100 or less in grades 9‑12 must include an amount on this line if they choose to make a small school adjustment to ensure that page 1, line 30 does not exceed the GBL for M&amp;O. If the district previously qualified for a small school adjustment but has exceeded these student counts, see the instructions for Data Entry tab, Other Information section, lines 17 and 18. For the purposes of Small School Adjustment, districts should use prior year student count (2023 ADM). </t>
    </r>
    <r>
      <rPr>
        <b/>
        <sz val="14"/>
        <rFont val="Times New Roman"/>
        <family val="1"/>
      </rPr>
      <t>Districts should not include amounts on these lines for expenditures that are to be made from the Impact Aid Fund.</t>
    </r>
    <r>
      <rPr>
        <sz val="14"/>
        <rFont val="Times New Roman"/>
        <family val="1"/>
      </rPr>
      <t xml:space="preserve">
</t>
    </r>
    <r>
      <rPr>
        <b/>
        <sz val="14"/>
        <rFont val="Times New Roman"/>
        <family val="1"/>
      </rPr>
      <t>Budget Revision</t>
    </r>
    <r>
      <rPr>
        <sz val="14"/>
        <rFont val="Times New Roman"/>
        <family val="1"/>
      </rPr>
      <t xml:space="preserve">
If the district received approval from the county board of supervisors to revise its budget to include the cost of additional pupils that were not anticipated at budget adoption in accordance with A.R.S. §15-949(A)(2), include the revised amount on this line and notify ADE of any approved increase via the email address below. </t>
    </r>
  </si>
  <si>
    <t>SFBudgetTeam@azed.gov</t>
  </si>
  <si>
    <t>Line 5</t>
  </si>
  <si>
    <t>Line 5(d)</t>
  </si>
  <si>
    <t>More information and instructions for calculating this amount can be found at the link below:</t>
  </si>
  <si>
    <t>http://www.azed.gov/finance/certificates-of-educational-convenience/</t>
  </si>
  <si>
    <t>Line 6</t>
  </si>
  <si>
    <r>
      <t xml:space="preserve">Include assistance received from the State for students whose parents are employed by certain State institutions as described in A.R.S. §15-976. Also, include amounts paid to the school district through the special education voucher payment system such as payments for teaching students at the district instead of sending the student to the Arizona State Schools for the Deaf and the Blind.
</t>
    </r>
    <r>
      <rPr>
        <b/>
        <sz val="14"/>
        <rFont val="Times New Roman"/>
        <family val="1"/>
      </rPr>
      <t>Budget Revision</t>
    </r>
    <r>
      <rPr>
        <sz val="14"/>
        <rFont val="Times New Roman"/>
        <family val="1"/>
      </rPr>
      <t xml:space="preserve">
Districts should use the work sheets provided by ADE to calculate the revised assistance to schools using the ADM reported on the FY 2024 ADM15. The work sheets are available on ADE’s website at the link below.</t>
    </r>
  </si>
  <si>
    <t xml:space="preserve">Line 7 </t>
  </si>
  <si>
    <r>
      <t xml:space="preserve">Districts should </t>
    </r>
    <r>
      <rPr>
        <u/>
        <sz val="14"/>
        <rFont val="Times New Roman"/>
        <family val="1"/>
      </rPr>
      <t>not</t>
    </r>
    <r>
      <rPr>
        <sz val="14"/>
        <rFont val="Times New Roman"/>
        <family val="1"/>
      </rPr>
      <t xml:space="preserve"> include amounts on this line for expenditures that are to be made from the Impact Aid Fund.
</t>
    </r>
    <r>
      <rPr>
        <b/>
        <sz val="14"/>
        <rFont val="Times New Roman"/>
        <family val="1"/>
      </rPr>
      <t>Budget Revision</t>
    </r>
    <r>
      <rPr>
        <sz val="14"/>
        <rFont val="Times New Roman"/>
        <family val="1"/>
      </rPr>
      <t xml:space="preserve">
If the June 30, 2023, actual cash balance for the M&amp;O Fund was incorrectly estimated, an accommodation school district must complete and submit a revised budget file, even if the amount recorded on line 7 of the adopted budget is not revised. If the June 30, 2023 actual cash balance for the M&amp;O Fund was accurate, accommodation schools may revise this file for other changes.
The Actual Budget Balance Carryforward displayed on Calculations tab, Calculation of M&amp;O Budget Balance Carryforward section, line 14.b should agree to the “Allowed Budget Balance Carry Forward” as reported on page 2 of the most recent FY 2023 BUDG75 Report. 
Record the district’s actual cash balance for the M&amp;O Fund at June 30, 2023, on Data Entry tab, Accommodation District Information section, line 2. Finally, districts should recalculate lines 3 and 4 based on the revised RCL on BSA55 tab, page 3.
Districts should compare the recalculated amount on line 15(e) of the Calculations tab to line 7 to determine whether the amount must be decreased or may be increased. 
</t>
    </r>
  </si>
  <si>
    <t>Line 8(a)</t>
  </si>
  <si>
    <r>
      <t>The total amount budgeted for desegregation expenditures in the M&amp;O, UCO, and Impact Aid Funds cannot exceed the amount budgeted in FY 2009. Districts should</t>
    </r>
    <r>
      <rPr>
        <u/>
        <sz val="14"/>
        <rFont val="Times New Roman"/>
        <family val="1"/>
      </rPr>
      <t xml:space="preserve"> not</t>
    </r>
    <r>
      <rPr>
        <sz val="14"/>
        <rFont val="Times New Roman"/>
        <family val="1"/>
      </rPr>
      <t xml:space="preserve"> include amounts on these lines for desegregation expenditures that are to be made from the Impact Aid Fund. </t>
    </r>
  </si>
  <si>
    <t>Line 8(b)</t>
  </si>
  <si>
    <r>
      <t>Districts are required to use actual expenditures in calculating the budget balance carryforward. Districts that</t>
    </r>
    <r>
      <rPr>
        <b/>
        <sz val="14"/>
        <rFont val="Times New Roman"/>
        <family val="1"/>
      </rPr>
      <t xml:space="preserve"> have overexpended</t>
    </r>
    <r>
      <rPr>
        <sz val="14"/>
        <rFont val="Times New Roman"/>
        <family val="1"/>
      </rPr>
      <t xml:space="preserve"> in the FY 2023 M&amp;O Fund as authorized by the county board of supervisors, in accordance with A.R.S. §15‑907, </t>
    </r>
    <r>
      <rPr>
        <b/>
        <sz val="14"/>
        <rFont val="Times New Roman"/>
        <family val="1"/>
      </rPr>
      <t>cannot record a budget balance carryforward.</t>
    </r>
    <r>
      <rPr>
        <sz val="14"/>
        <rFont val="Times New Roman"/>
        <family val="1"/>
      </rPr>
      <t xml:space="preserve">
Districts should complete Data Entry page, Other Information section, lines 8 through 11. Districts may transfer an amount to the School Opening Fund, not to exceed the lesser of the FY 2023 M&amp;O Fund ending cash balance or the actual budget balance carryforward. The amount transferred will reduce the amount of the budget balance carryforward; therefore, the amount carried forward may not exceed the amount on Calculation page, Calculation of M&amp;O Fund Budget Balance Carryforward section, line 13.
</t>
    </r>
    <r>
      <rPr>
        <b/>
        <sz val="14"/>
        <rFont val="Times New Roman"/>
        <family val="1"/>
      </rPr>
      <t>Budget Revision</t>
    </r>
    <r>
      <rPr>
        <sz val="14"/>
        <rFont val="Times New Roman"/>
        <family val="1"/>
      </rPr>
      <t xml:space="preserve">
Districts should compare the amount on line 8(c) to the allowable amount on the FY 2023 BUDG75 Report to determine if revisions are necessary. The amounts on this line cannot exceed the amount reported on page 2 of the BUDG75 Report. </t>
    </r>
  </si>
  <si>
    <t>Line 8(c)</t>
  </si>
  <si>
    <t>A district authorized by ADE to continue participation in the Dropout Prevention Programs, in accordance with Laws 1992, Ch. 305, §32 and Laws 2000, Ch. 398, §2, for FY 2024 may record on this line an amount not to exceed the amount budgeted for the Dropout Prevention Programs in FY 1991. Districts should not include amounts on this line for expenditures that are to be made from the Impact Aid Fund.</t>
  </si>
  <si>
    <t>Line 8(d)</t>
  </si>
  <si>
    <r>
      <t xml:space="preserve">A district may budget an amount less than or equal to interest expense for registering warrants or for net interest expense (interest expense minus interest income) on tax anticipation notes outside the FY 2024 RCL, </t>
    </r>
    <r>
      <rPr>
        <b/>
        <sz val="14"/>
        <rFont val="Times New Roman"/>
        <family val="1"/>
      </rPr>
      <t>if both of the following conditions apply</t>
    </r>
    <r>
      <rPr>
        <sz val="14"/>
        <rFont val="Times New Roman"/>
        <family val="1"/>
      </rPr>
      <t xml:space="preserve">:
--The County Treasurer pooled all school district monies for investment during FY 2022 as provided in A.R.S. §15‑996.
--For those districts that received state aid in FY 2022, the districts applied for state aid apportionment before the date set as provided in A.R.S. §15‑973.
</t>
    </r>
  </si>
  <si>
    <t>Line 8(e)</t>
  </si>
  <si>
    <r>
      <t xml:space="preserve">For the first 3 years that a joint career and technical education and vocational education center is operating and serving students, all or a portion of the center’s expenditures may be budgeted outside the RCL. A.R.S. §15-910.01 requires the State Board of Education (SBE) approval prior to including an amount here. The district </t>
    </r>
    <r>
      <rPr>
        <u/>
        <sz val="14"/>
        <rFont val="Times New Roman"/>
        <family val="1"/>
      </rPr>
      <t>must</t>
    </r>
    <r>
      <rPr>
        <sz val="14"/>
        <rFont val="Times New Roman"/>
        <family val="1"/>
      </rPr>
      <t xml:space="preserve"> notify the SBE before adopting a Budget for the first year of operation, and notify ADE School Finance if this line will be used in calculating the GBL.  Currently, no districts have been authorized by the SBE. </t>
    </r>
    <r>
      <rPr>
        <b/>
        <sz val="14"/>
        <rFont val="Times New Roman"/>
        <family val="1"/>
      </rPr>
      <t>This provision does not apply to career technical education districts established pursuant to A.R.S. §15‑392.</t>
    </r>
  </si>
  <si>
    <t>Line 8(f)</t>
  </si>
  <si>
    <r>
      <t xml:space="preserve">Do </t>
    </r>
    <r>
      <rPr>
        <u/>
        <sz val="14"/>
        <rFont val="Times New Roman"/>
        <family val="1"/>
      </rPr>
      <t>not</t>
    </r>
    <r>
      <rPr>
        <sz val="14"/>
        <rFont val="Times New Roman"/>
        <family val="1"/>
      </rPr>
      <t xml:space="preserve"> include amounts budgeted for the Performance Pay component of the CSF here.
</t>
    </r>
    <r>
      <rPr>
        <b/>
        <sz val="14"/>
        <rFont val="Times New Roman"/>
        <family val="1"/>
      </rPr>
      <t>Budget Revision</t>
    </r>
    <r>
      <rPr>
        <sz val="14"/>
        <rFont val="Times New Roman"/>
        <family val="1"/>
      </rPr>
      <t xml:space="preserve">
Districts should compare the amount on this line to the applicable amounts on the FY 2023 BUDG75 Report to determine if revisions are necessary. The amounts on this line cannot exceed the amounts reported on page 2 of the BUDG75 Report.</t>
    </r>
  </si>
  <si>
    <t>Line 8(g)</t>
  </si>
  <si>
    <t>Record the amount of any judgments expected to be paid in FY 2023 for an excessive property tax valuation judgment per A.R.S. §§42-16213 and 42-16214. This amount should also be included on page 1, line 4. Pre-approval by ADE is required. Contact ADE's School Finance payment team at the email address below.</t>
  </si>
  <si>
    <t xml:space="preserve">SFPaymentTeam@azed.gov </t>
  </si>
  <si>
    <t>Line 8(h)</t>
  </si>
  <si>
    <r>
      <t xml:space="preserve">Record the amount of reimbursements for unorganized territory mileage received from performance of a transportation services contract.
</t>
    </r>
    <r>
      <rPr>
        <b/>
        <sz val="14"/>
        <rFont val="Times New Roman"/>
        <family val="1"/>
      </rPr>
      <t>Budget Revision</t>
    </r>
    <r>
      <rPr>
        <sz val="14"/>
        <rFont val="Times New Roman"/>
        <family val="1"/>
      </rPr>
      <t xml:space="preserve">
Districts should compare actual reimbursements for transportation services received or expected to be received by June 30 to the amount reported on this line. The amount on this line cannot exceed the actual amount received for providing these transportation services.</t>
    </r>
  </si>
  <si>
    <r>
      <t xml:space="preserve">Record adjustments to the General Budget Limit on these lines. If more than 1 year or type of adjustment is recorded on any one line,  indicate each year and the associated amount for each type of adjustment in the line description, but record only one combined amount for all years and types on each line. Record negative amounts in parentheses. Districts that need assistance with the adjustments should contact ADE’s budget team. 
</t>
    </r>
    <r>
      <rPr>
        <b/>
        <sz val="14"/>
        <rFont val="Times New Roman"/>
        <family val="1"/>
      </rPr>
      <t>Budget Revision</t>
    </r>
    <r>
      <rPr>
        <sz val="14"/>
        <rFont val="Times New Roman"/>
        <family val="1"/>
      </rPr>
      <t xml:space="preserve">
Districts should compare the budgeted adjustment amounts to the applicable ADE calculated values on page 1 of the most recent FY 2024 BUDG25, to determine if the amounts should be revised.</t>
    </r>
  </si>
  <si>
    <r>
      <t xml:space="preserve">For FY 2024, 2016 Prop 123 and Laws 2015, 1st Special Session, Ch. 1, §6 provide total additional funding of $75,000,000 to districts and charter schools on a pro rata basis.  Districts should increase their budget limits by </t>
    </r>
    <r>
      <rPr>
        <b/>
        <sz val="14"/>
        <rFont val="Times New Roman"/>
        <family val="1"/>
      </rPr>
      <t>estimating</t>
    </r>
    <r>
      <rPr>
        <sz val="14"/>
        <rFont val="Times New Roman"/>
        <family val="1"/>
      </rPr>
      <t xml:space="preserve"> their portion of the increase by multiplying the district's percentage of statewide weighted student count, as reported on its most recent Classroom Site Fund Detail Report, by $75,000,000. </t>
    </r>
    <r>
      <rPr>
        <b/>
        <sz val="14"/>
        <rFont val="Times New Roman"/>
        <family val="1"/>
      </rPr>
      <t xml:space="preserve">However, actual amounts will vary and ADE will notify districts of the final amounts. </t>
    </r>
    <r>
      <rPr>
        <sz val="14"/>
        <rFont val="Times New Roman"/>
        <family val="1"/>
      </rPr>
      <t>District CSF Detail Reports can be accessed at the first link below.</t>
    </r>
    <r>
      <rPr>
        <b/>
        <sz val="14"/>
        <rFont val="Times New Roman"/>
        <family val="1"/>
      </rPr>
      <t xml:space="preserve">
Budget Revision
</t>
    </r>
    <r>
      <rPr>
        <sz val="14"/>
        <rFont val="Times New Roman"/>
        <family val="1"/>
      </rPr>
      <t>Districts should compare actual additional funding received or expected to be received for the fiscal year to the amount reported on this line. The amount on this line cannot exceed the actual amount received for additional funding. Actual Prop 123 payment amounts can be accessed at the second link below.</t>
    </r>
  </si>
  <si>
    <t>https://www.azed.gov/finance/countyappor</t>
  </si>
  <si>
    <t>Line 2</t>
  </si>
  <si>
    <r>
      <rPr>
        <b/>
        <sz val="14"/>
        <rFont val="Times New Roman"/>
        <family val="1"/>
      </rPr>
      <t>Budget Revision</t>
    </r>
    <r>
      <rPr>
        <sz val="14"/>
        <rFont val="Times New Roman"/>
        <family val="1"/>
      </rPr>
      <t xml:space="preserve">
Line 2, if required, should agree to the most recent FY 2023 BUDG75 Report, page 2, “Add to FY24 Expenditure Budget for (UNR), page 8, line 2” This line will also include any positive or negative A.R.S. §15-915 adjustments as approved by ADE. Contact ADE's School Finance budget team with questions concerning the reconciliation of any differences at the email address below.</t>
    </r>
  </si>
  <si>
    <t xml:space="preserve">SFBudgetTeam@azed.gov </t>
  </si>
  <si>
    <t>Lines 3</t>
  </si>
  <si>
    <r>
      <rPr>
        <b/>
        <sz val="14"/>
        <rFont val="Times New Roman"/>
        <family val="1"/>
      </rPr>
      <t>Budget Revision</t>
    </r>
    <r>
      <rPr>
        <sz val="14"/>
        <rFont val="Times New Roman"/>
        <family val="1"/>
      </rPr>
      <t xml:space="preserve">
Line 3 should agree to the most recent FY 2023 BUDG75 Report, page 2 “Unrestricted Capital Available for FY23.” Contact ADE's School Finance budget team with questions concerning the reconciliation of any differences at the email address below.</t>
    </r>
  </si>
  <si>
    <r>
      <rPr>
        <b/>
        <sz val="14"/>
        <rFont val="Times New Roman"/>
        <family val="1"/>
      </rPr>
      <t>Budget Revision</t>
    </r>
    <r>
      <rPr>
        <sz val="14"/>
        <rFont val="Times New Roman"/>
        <family val="1"/>
      </rPr>
      <t xml:space="preserve">
This line should reflect total actual UCO Fund 610 expenditures as reported on the district’s FY 2023 AFR, less expenditures approved under A.R.S. §15-907 that are in excess of the most recently revised adopted FY 2023 UCO budget (budget page 4, line 10).</t>
    </r>
  </si>
  <si>
    <t>Line 8</t>
  </si>
  <si>
    <r>
      <rPr>
        <b/>
        <sz val="14"/>
        <rFont val="Times New Roman"/>
        <family val="1"/>
      </rPr>
      <t>Budget Revision</t>
    </r>
    <r>
      <rPr>
        <sz val="14"/>
        <rFont val="Times New Roman"/>
        <family val="1"/>
      </rPr>
      <t xml:space="preserve">
Line 8 should agree to the actual amount of interest earned on investments as reported on the district’s FY 2023 AFR for the UCO Fund.</t>
    </r>
  </si>
  <si>
    <r>
      <t>The district should forward a copy of the award letter from ADOA's Division of School Facilities stating the specific amount being deposited in Fund 610, to ADE's School Finance budget team at the email address below.</t>
    </r>
    <r>
      <rPr>
        <strike/>
        <sz val="14"/>
        <rFont val="Times New Roman"/>
        <family val="1"/>
      </rPr>
      <t xml:space="preserve">
</t>
    </r>
    <r>
      <rPr>
        <sz val="14"/>
        <rFont val="Times New Roman"/>
        <family val="1"/>
      </rPr>
      <t xml:space="preserve">
</t>
    </r>
    <r>
      <rPr>
        <b/>
        <sz val="14"/>
        <rFont val="Times New Roman"/>
        <family val="1"/>
      </rPr>
      <t>Budget Revision</t>
    </r>
    <r>
      <rPr>
        <sz val="14"/>
        <rFont val="Times New Roman"/>
        <family val="1"/>
      </rPr>
      <t xml:space="preserve">
Enter the amount of money, if any, received or expected to be received, by fiscal year end.</t>
    </r>
  </si>
  <si>
    <r>
      <t xml:space="preserve">Record adjustments to the UCBL on these lines.  If more than 1 year or type of adjustment is recorded for any one line, indicate each year and the associated amount for each type of adjustment in the line description, but record only one combined amount for all years and types on each line. Record negative amounts in parentheses. Districts should contact ADE’s School Finance budget team at the email address below before budgeting an amount on this line.
</t>
    </r>
    <r>
      <rPr>
        <sz val="5"/>
        <rFont val="Times New Roman"/>
        <family val="1"/>
      </rPr>
      <t xml:space="preserve">
</t>
    </r>
  </si>
  <si>
    <t>Line 10 continued</t>
  </si>
  <si>
    <r>
      <rPr>
        <b/>
        <sz val="14"/>
        <rFont val="Times New Roman"/>
        <family val="1"/>
      </rPr>
      <t>Budget Revision</t>
    </r>
    <r>
      <rPr>
        <sz val="14"/>
        <rFont val="Times New Roman"/>
        <family val="1"/>
      </rPr>
      <t xml:space="preserve">
Districts should compare budgeted adjustment amounts to the applicable ADE calculated values on page 2 of the most recent FY 2024 BUDG25, to determine if the amounts should be revised.</t>
    </r>
  </si>
  <si>
    <t xml:space="preserve">Suppl </t>
  </si>
  <si>
    <t>ELL General</t>
  </si>
  <si>
    <t xml:space="preserve">A.R.S. §15-756.02 requires each school district to implement on a school-by-school basis 1 or more Structured English Immersion (SEI) and Alternative English Instruction (AEI) models adopted or approved by the State Board of Education pursuant to §A.R.S. 15-756.01. A.R.S. §15-756.01 defines incremental costs as the costs that are associated with an SEI program pursuant to A.R.S. §15-752 or an AEI program pursuant to A.R.S. §15-753 that are in addition to the normal costs of conducting programs for English proficient students. Further, incremental costs do not include costs that replace the same types of service provided to English proficient students or compensatory instruction. 
A.R.S. §15-756.11 defined compensatory instruction as programs in addition to normal classroom instruction that may include individual or small group instruction, extended day classes, summer school, or intersession school. Compensatory instruction programs must be limited to improving the English proficiency of current ELL students and students who were ELL students and who have been reclassified as English proficient within the previous 2 years. </t>
  </si>
  <si>
    <t>Suppl</t>
  </si>
  <si>
    <t>ELL General Continued</t>
  </si>
  <si>
    <t xml:space="preserve">ELL Fund 071 is used to account for monies received from ADE to provide for the incremental cost of instruction to ELLs and must be used to supplement existing programs. In accordance with A.R.S. §15-756.03 and .04 ELL monies must not be used to supplant federal, state, or local monies, including desegregation monies, previously used for ELLs, or used to pay for the normal costs of conducting programs for English proficient students. Districts are required to submit a separate ELL Budget Request Form to ADE to request these monies for FY 2024. </t>
  </si>
  <si>
    <t>In accordance with A.R.S. §15-756.11, the Compensatory Instruction Fund 072 is used to account for monies received from ADE for compensatory instruction programs in addition to normal classroom instruction as described above.  Monies must be used to supplement existing programs and not supplant federal, state, or local monies, including desegregation monies levied pursuant to A.R.S. §15-910, used for ELLs or ELL compensatory instruction that were budgeted as of February 23, 2006. For FY 2024, there were no new monies available for compensatory instruction programs. ADE will allow districts to use the remaining monies but will deduct those amounts from future funding requests for compensatory instruction programs.</t>
  </si>
  <si>
    <t xml:space="preserve">In all funds where ELL costs are incurred, districts should use program code 260—ELL Incremental Costs to record incremental costs necessary to implement an approved ELL model, program code 265—ELL Compensatory Instruction to record the costs of providing compensatory instruction to ELL students and students reclassified as English proficient in the last 2 years, and program code 435—Pupil Transportation—ELL Compensatory Instruction for transportation costs approved as part of compensatory instruction. However, when desegregation monies in the M&amp;O Fund are used to pay for incremental or compensatory instruction costs, districts should use program codes 514—ELL Incremental Costs and 515—ELL Compensatory Instruction. </t>
  </si>
  <si>
    <t>Districts may have ELL costs, in funds other than ELL Fund 071 and Compensatory Instruction Fund 072, that are beyond the incremental costs necessary to implement an approved ELL model and that are not considered compensatory instruction by statute. Districts should code these costs to program code 100—Regular Education. Districts may choose to separately track these costs in their accounting records using a more detailed program code under 100, such as program code 160.</t>
  </si>
  <si>
    <t>Summary</t>
  </si>
  <si>
    <t>Page 1</t>
  </si>
  <si>
    <t>Truth in Taxation Work Sheet</t>
  </si>
  <si>
    <t>In accordance with A.R.S. §15-905.01, a district must hold a truth in taxation hearing on or before the adoption of the expenditure budget if the district budgets an amount that is higher than the truth in taxation base limit, levies any amount for adjacent ways pursuant to A.R.S. §15‑995, or levies any amount for liabilities in excess of the budget pursuant to A.R.S. §15‑907.</t>
  </si>
  <si>
    <t>General Continued</t>
  </si>
  <si>
    <t>All districts must complete the Truth in Taxation Work Sheet to calculate the district’s truth in taxation base limit, to determine if a hearing is required, and to report the portion of the FY 2024 primary property tax rate related to each of the truth in taxation expenditure categories. Information from this Work Sheet is provided to the Department of Revenue, Property Tax Oversight Commission. If an amount on line 11, 12, or 13 is greater than zero, the district must publish a truth in taxation hearing notice and hold a hearing. The amounts calculated on lines A, B.2, and C.2 of the Work Sheet should be used, where indicated, on the sample truth in taxation hearing notice. Districts must submit the completed Work Sheet to ADE as part of the budget package and must notify ADE of any subsequent changes to the truth in taxation base limit. If a truth in taxation hearing is held, the Work Sheet must also be made available to the general public at the hearing. See Submission and Publication Instructions issued with the 2024 expenditure budget forms and A.R.S. §15-905.01 for further requirements.</t>
  </si>
  <si>
    <t>The truth in taxation work sheet and notice do not need to be completed for budget revisions. The impact of any revisions should be included in the following year’s truth in taxation calculation.</t>
  </si>
  <si>
    <t>The prior year TNT Base Limit reported on line 1 is the total of the Adjusted FY 2023 TNT Base Limit and the 2023 Excess over TNT Limit. This calculation assumes that the district properly noticed any required TNT Hearing in 2023. If the district reported an amount on the Excess over Truth in Taxation Limit line in 2023 but did not provide the required notification of a TNT hearing, the 2023 Excess over TNT Limit amount should not be added here.</t>
  </si>
  <si>
    <t xml:space="preserve">Use this line to reduce the TNT Base limit (line 1) for programs that the district is no longer eligible to budget for. Districts that are no longer eligible to budget for any of the programs on lines 4 through 7, or if the expenditures for those programs will be made only in the Impact Aid Fund, should have a TNT base limit of zero after deducting amounts for discontinued programs on this line.
</t>
  </si>
  <si>
    <t>Line 8.a</t>
  </si>
  <si>
    <t>Use actual expenditures to date plus estimated amounts for the remainder of FY 2023.</t>
  </si>
  <si>
    <t>Data Entry</t>
  </si>
  <si>
    <r>
      <t xml:space="preserve">Districts should enter their CTD number and select the budget version on the Cover page </t>
    </r>
    <r>
      <rPr>
        <b/>
        <sz val="14"/>
        <rFont val="Times New Roman"/>
        <family val="1"/>
      </rPr>
      <t>prior</t>
    </r>
    <r>
      <rPr>
        <sz val="14"/>
        <rFont val="Times New Roman"/>
        <family val="1"/>
      </rPr>
      <t xml:space="preserve"> to completing the Data Entry page. Formulas included on the Calculations and BSA55 pages will pull the data from the Data Entry and the Cover pages to calculate the amounts required for pages 7 and 8.</t>
    </r>
  </si>
  <si>
    <t>Districts should complete the applicable portions of the Data Entry tab before completing pages 1 through 8. To ensure that the district’s data can be properly processed by ADE, formulas should not be changed without specific instructions from either the Arizona Auditor General's Accountability Services Division or ADE, School Finance.</t>
  </si>
  <si>
    <t>Unweighted Student Count
Line 1</t>
  </si>
  <si>
    <t xml:space="preserve">FY 2022 ADM is used to calculate the district's FY 2024 District Additional Assistance (DAA) growth factor, if any.
Obtain the total ADM amount from the most recent ADE report “Basic Calculations for Equalization Assistance,” BSA 55-1, page 4 of 5, available on ADE's website. </t>
  </si>
  <si>
    <t>Unweighted Student Count
Line 2</t>
  </si>
  <si>
    <r>
      <rPr>
        <b/>
        <sz val="14"/>
        <rFont val="Times New Roman"/>
        <family val="1"/>
      </rPr>
      <t>Prior Year ADM</t>
    </r>
    <r>
      <rPr>
        <sz val="14"/>
        <rFont val="Times New Roman"/>
        <family val="1"/>
      </rPr>
      <t xml:space="preserve">
FY 2023 100th-day ADM is used for all districts in the calculation of District Additional Assistance (DAA). 
Obtain total 100th-day ADM for PSD, K-8, and 9-12, including AOI students, from the ADM20 report, available on ADE's website. 
For common school districts not within a high school district (Type 03), the 9-12 column for this line should include only those students in grades 9-12 actually taught by the Type 03 district, if any.
</t>
    </r>
    <r>
      <rPr>
        <b/>
        <sz val="14"/>
        <rFont val="Times New Roman"/>
        <family val="1"/>
      </rPr>
      <t>Budget Revision</t>
    </r>
    <r>
      <rPr>
        <sz val="14"/>
        <rFont val="Times New Roman"/>
        <family val="1"/>
      </rPr>
      <t xml:space="preserve">
Districts should update amounts on this line to reflect 2023 100th-day ADM as reported on the ADM20 report.</t>
    </r>
  </si>
  <si>
    <t>Unweighted Student Count
Lines 3, 4, and 5</t>
  </si>
  <si>
    <t xml:space="preserve">Laws 2022, Ch. 285, eliminated tuition calculations for high school students from common school districts not within a high school district (Type 03). Districts of attendance for high school students should add ADM in column I beginning in FY 2024. </t>
  </si>
  <si>
    <t>Student Count
by Category
Lines 7 through 20</t>
  </si>
  <si>
    <r>
      <t xml:space="preserve">For budget adoption, districts should estimate the FY 2024 student count for these lines. 
</t>
    </r>
    <r>
      <rPr>
        <b/>
        <sz val="14"/>
        <rFont val="Times New Roman"/>
        <family val="1"/>
      </rPr>
      <t>Budget Revision</t>
    </r>
    <r>
      <rPr>
        <sz val="14"/>
        <rFont val="Times New Roman"/>
        <family val="1"/>
      </rPr>
      <t xml:space="preserve">
After the 100th-day in session, student counts to determine the Add-On weighted student counts should be obtained from the following ADE reports:</t>
    </r>
    <r>
      <rPr>
        <strike/>
        <sz val="14"/>
        <rFont val="Times New Roman"/>
        <family val="1"/>
      </rPr>
      <t xml:space="preserve">
</t>
    </r>
    <r>
      <rPr>
        <sz val="14"/>
        <rFont val="Times New Roman"/>
        <family val="1"/>
      </rPr>
      <t xml:space="preserve">
</t>
    </r>
    <r>
      <rPr>
        <b/>
        <sz val="14"/>
        <rFont val="Times New Roman"/>
        <family val="1"/>
      </rPr>
      <t>K-3 Student Counts for both the K-3 &amp; K-3 Reading support level weights:</t>
    </r>
    <r>
      <rPr>
        <sz val="14"/>
        <rFont val="Times New Roman"/>
        <family val="1"/>
      </rPr>
      <t xml:space="preserve"> ADM20
</t>
    </r>
    <r>
      <rPr>
        <b/>
        <sz val="14"/>
        <rFont val="Times New Roman"/>
        <family val="1"/>
      </rPr>
      <t>ELL:</t>
    </r>
    <r>
      <rPr>
        <sz val="14"/>
        <rFont val="Times New Roman"/>
        <family val="1"/>
      </rPr>
      <t xml:space="preserve"> ELL20
</t>
    </r>
    <r>
      <rPr>
        <b/>
        <sz val="14"/>
        <rFont val="Times New Roman"/>
        <family val="1"/>
      </rPr>
      <t>Children with Disabilities:</t>
    </r>
    <r>
      <rPr>
        <sz val="14"/>
        <rFont val="Times New Roman"/>
        <family val="1"/>
      </rPr>
      <t xml:space="preserve"> SPED20
</t>
    </r>
  </si>
  <si>
    <t>Student Count
by Category
Line 7</t>
  </si>
  <si>
    <r>
      <t xml:space="preserve">In accordance with A.R.S. §15-943, use these lines for the K-3 Reading support level weight.
A.R.S. §15-211 requires districts to submit a plan for improving the reading proficiency of its pupils in Kindergarten programs and grades 1-3 to ADE by October 1 each year. This plan is required to include a budget for the use of the monies generated by the K-3 and K-3 Reading support level weights. Additionally, districts are required to use the monies generated by the K-3 Reading support level weight ONLY on instructional purposes intended to improve reading proficiency for pupils in Kindergarten programs and grades 1-3 with particular emphasis on pupils in Kindergarten programs and grades 1 and 2.
K-3 Reading weight will only be included in the district's BSA 55-1 and BUDG25 </t>
    </r>
    <r>
      <rPr>
        <b/>
        <sz val="14"/>
        <rFont val="Times New Roman"/>
        <family val="1"/>
      </rPr>
      <t>after</t>
    </r>
    <r>
      <rPr>
        <sz val="14"/>
        <rFont val="Times New Roman"/>
        <family val="1"/>
      </rPr>
      <t xml:space="preserve"> the district's K-3 Reading Program Plan is approved by the State Board of Education.
To facilitate budgeting for the monies generated by the K-3 and K-3 Reading support level weights, the portion of the district's base support level (BSL) that is generated by the K-3 and K-3 Reading support level weights is calculated and shown on line 1 in the Other Information section of the Calculations tab.
Questions concerning the K-3 Reading plan requirement and approval status should be directed to ADE's Move on When Reading section at the link below:</t>
    </r>
  </si>
  <si>
    <t>Student Count
by Category
Line 9</t>
  </si>
  <si>
    <t>ELL (English Learners)</t>
  </si>
  <si>
    <t>Student Count
by Category
Line 10</t>
  </si>
  <si>
    <t>HI (Hearing Impairment)</t>
  </si>
  <si>
    <t>Student Count
by Category
Line 11</t>
  </si>
  <si>
    <t>MD - R (Multiple Disabilities - Resource), A - R (Autism - Resource), and SID - R (Severe Intellectual Disability - Resource)</t>
  </si>
  <si>
    <t>Student Count
by Category
Line 12</t>
  </si>
  <si>
    <t>MD - SC (Multiple Disabilities - Self-contained), A - SC (Autism - Self-contained), and SID - SC (Severe Intellectual Disability - Self-contained)</t>
  </si>
  <si>
    <t>Student Count
by Category
Line 13</t>
  </si>
  <si>
    <t>MD - SSI (Multiple Disabilities Severe Sensory Impairment)</t>
  </si>
  <si>
    <t>Student Count
by Category
Line 14</t>
  </si>
  <si>
    <t>OI -R (Orthopedic Impairment - Resource)</t>
  </si>
  <si>
    <t>Student Count
by Category
Line 15</t>
  </si>
  <si>
    <t>OI - SC (Orthopedic Impairment - Self Contained)</t>
  </si>
  <si>
    <t>Student Count
by Category
Line 16</t>
  </si>
  <si>
    <t>P - SD (Preschool - Severe Delay)</t>
  </si>
  <si>
    <t>Student Count
by Category
Line 17</t>
  </si>
  <si>
    <t>DD (Developmental Delay for children in kindergarten through age 10), ED (Emotional Disability), MIID (Mild Intellectual Disability), SLD (Specific Learning  Disability), SLI (Speech/Language Impairment for K-12), and OHI (Other Health Impairments)</t>
  </si>
  <si>
    <t>Student Count
by Category
Line 18</t>
  </si>
  <si>
    <t>ED - P (Emotional Delay - Private)</t>
  </si>
  <si>
    <t>Student Count
by Category
Line 19</t>
  </si>
  <si>
    <t>MOID (Moderate Intellectual Disability)</t>
  </si>
  <si>
    <t>Student Count
by Category
Line 20</t>
  </si>
  <si>
    <t>VI (Visual Impairment)</t>
  </si>
  <si>
    <t>Student Count
by Category
Line 21</t>
  </si>
  <si>
    <t>G (Educational Programs for Gifted Pupils)
For additional information on Educational Programs for Gifted Students, please see the ADE School Finance Hot Topic linked below:</t>
  </si>
  <si>
    <t>https://www.azed.gov/finance/fy-2022-gifted-add-payment</t>
  </si>
  <si>
    <t>Student Count
by Category
Line 23</t>
  </si>
  <si>
    <t>FRPL (Free or Reduced-Price Lunch)
Districts may use ADE's SUPP72 report in AzEDS to estimate FY 2024 eligible student counts. This weight applies to all students in schools with community eligibility.</t>
  </si>
  <si>
    <t xml:space="preserve">Adjustments to BSL/BRCL
Line 1 </t>
  </si>
  <si>
    <t>Districts with grades designated as small isolated districts by the Arizona Department of Education (ADE) in accordance with A.R.S. §15-901 should mark the appropriate check box(es) on this line to activate the increase for small isolated districts in the calculation of the Group A support level weight. Districts that have all grade levels designated as small isolated by the ADE should mark both check boxes.</t>
  </si>
  <si>
    <t>Adjustments to BSL/BRCL
Line 2</t>
  </si>
  <si>
    <t xml:space="preserve">In accordance with A.R.S. §15-902.04, school districts electing to provide 200 days of instruction during FY 2024 must receive approval from ADE prior to June 1, 2023. These districts should use the check box on this line to activate the increase for the calculation of the BSL/BRCL and the TSL/TRCL.
Please contact the district's ADE School Finance account analyst for specific instructions and the form to request approval. Please contact ADE's School Finance account analyst team at the email address below for specific instructions at the link below. </t>
  </si>
  <si>
    <t>SFAnalystTeam@azed.gov</t>
  </si>
  <si>
    <t>Adjustments to BSL/BRCL 
Line 3</t>
  </si>
  <si>
    <t>As districts mark the proper check boxes on lines 1 through 3 above, the Adjusted FY 2024 Base Level Amount will automatically update to the proper amount to be used on page 2 of the BSA55 tab.</t>
  </si>
  <si>
    <t>Adjustments to BSL/BRCL 
Line 4</t>
  </si>
  <si>
    <t>Use the FY 2023 “Teacher Experience Index (TEI),” SDER 96, available on ADE’s website at the link below. Districts should print a copy or save an electronic copy for their records.</t>
  </si>
  <si>
    <t>www.ade.az.gov/sder/publicreports.asp</t>
  </si>
  <si>
    <t>Adjustments to BSL/BRCL 
Line 5</t>
  </si>
  <si>
    <r>
      <t xml:space="preserve">A.R.S. §15-914.F allows districts to increase the BSL if financial and compliance audit costs will be incurred for the budget year. Enter the </t>
    </r>
    <r>
      <rPr>
        <b/>
        <sz val="14"/>
        <rFont val="Times New Roman"/>
        <family val="1"/>
      </rPr>
      <t>non-federal</t>
    </r>
    <r>
      <rPr>
        <sz val="14"/>
        <rFont val="Times New Roman"/>
        <family val="1"/>
      </rPr>
      <t xml:space="preserve"> FY 2022 audit expenditures from all funds on line 6. Amount entered should agree to the district's FY 2022 AFR.
Do </t>
    </r>
    <r>
      <rPr>
        <b/>
        <u/>
        <sz val="14"/>
        <rFont val="Times New Roman"/>
        <family val="1"/>
      </rPr>
      <t>not</t>
    </r>
    <r>
      <rPr>
        <sz val="14"/>
        <rFont val="Times New Roman"/>
        <family val="1"/>
      </rPr>
      <t xml:space="preserve"> include costs of consulting or other nonaudit services paid to audit firms (e.g., application fees paid for submission of district's reports to ASBO and GFOA for certification or for the preparation of the Meritorious Budget Award application to ASBO).</t>
    </r>
  </si>
  <si>
    <t>Adjustments to BSL/BRCL 
Line 6</t>
  </si>
  <si>
    <r>
      <t xml:space="preserve">Enter the FY 2022 </t>
    </r>
    <r>
      <rPr>
        <b/>
        <sz val="14"/>
        <rFont val="Times New Roman"/>
        <family val="1"/>
      </rPr>
      <t>federal</t>
    </r>
    <r>
      <rPr>
        <sz val="14"/>
        <rFont val="Times New Roman"/>
        <family val="1"/>
      </rPr>
      <t xml:space="preserve"> audit expenditures from all funds (should agree to FY 2022 AFR).
Do not include costs of consulting or other nonaudit services paid to audit firms (e.g., application fees paid for submission of district's reports to ASBO and GFOA for certification or for the preparation of the Meritorious Budget Award application to ASBO).</t>
    </r>
  </si>
  <si>
    <t>Transportation
Lines 1 &amp; 2</t>
  </si>
  <si>
    <t xml:space="preserve">Obtain the amounts from the ADE report “Transportation Route Report,” TRAN55-1, available on ADE's website.
A common school district not within a high school district must use the approved daily route miles and eligible students transported, excluding approved daily route miles and eligible students for high school students attending school in another district and being transported by another district.
</t>
  </si>
  <si>
    <t>Transportation
Lines 3 &amp; 4</t>
  </si>
  <si>
    <t>Used to increase the transportation support level for the annual expenditure for bus tokens and passes for students who qualify as eligible students as defined by A.R.S. §15-901. Enter the FY 2022 annual expenditures for bus tokens and passes from the ADE report “Transportation Route Report,” TRAN55-1, available on ADE's website.</t>
  </si>
  <si>
    <t>Transportation Line 5</t>
  </si>
  <si>
    <t>The Extended School Year Route Miles for Pupils with Disabilities are obtained from the ADE report “Transportation Route Report,” TRAN55-1, available on ADE's website.</t>
  </si>
  <si>
    <t>Other Information
Line 1</t>
  </si>
  <si>
    <t xml:space="preserve">Enter any amount approved by the State Board of Education for a Capital Transportation Adjustment. Districts are eligible to receive a Capital Transportation Adjustment for the purchase of transportation vehicles if the district:
--Has a student count of fewer than 600 in kindergarten and grades 1-12,
--Transports as eligible students at least one-third of the total student count of the district, and
--Has an approved daily route mileage per eligible student transported of more than 1.0, calculated in  accordance with A.R.S. §15-945 on page 3 of the BSA55 tab.
Any amount reported on this line will be pulled to the DAA Adjustment line on page 4 of the BSA55 tab. 
Amounts entered on lines 1(a) through 1(c) should agree to the DAA Adjustment amounts reported on the district's BSA 55-1, p. 4. </t>
  </si>
  <si>
    <t>Other Information
Line 1a
Continued</t>
  </si>
  <si>
    <t xml:space="preserve">If the district enters amounts for capital transportation adjustment on lines 1.a through 1.c these amounts are included in the DAA Adjustment line on the BSA55 tab, page 4. These amounts will cause a discrepancy between the DAA Adjustment shown on the BSA55 tab and the amount reported on the District’s actual BSA 55-1 report until the capital transportation amounts are manually loaded into the BSA system by ADE, which usually occurs in March. </t>
  </si>
  <si>
    <t>Other Information
Line 2</t>
  </si>
  <si>
    <r>
      <t xml:space="preserve">This line should be left blank for budget adoption. 
</t>
    </r>
    <r>
      <rPr>
        <b/>
        <sz val="14"/>
        <rFont val="Times New Roman"/>
        <family val="1"/>
      </rPr>
      <t>Budget Revision</t>
    </r>
    <r>
      <rPr>
        <sz val="14"/>
        <rFont val="Times New Roman"/>
        <family val="1"/>
      </rPr>
      <t xml:space="preserve">
If a school provides instructional time in a remote setting beyond the thresholds prescribed in A.R.S. §15-901.08(C)(3)(b)(i) in any school year, ADE will calculate the adjustment amount to include on this line for final budget revisions in accordance with A.R.S. §15-901.08(D), if any.</t>
    </r>
  </si>
  <si>
    <t>Other Information
Line 3</t>
  </si>
  <si>
    <t>Include the amount of any transitional costs that are directly associated with routine formalities that are necessary as a result of consolidation, such as changing of signs, letterhead, stationery and similar issues.</t>
  </si>
  <si>
    <t>Other Information
Line 5</t>
  </si>
  <si>
    <t>Unified districts (Type 02) with a 9-12 Primary Assessed Valuation that differs from its PSD-8 Primary Assessed Valuation should enter its 9-12 valuation on the AV2 line.</t>
  </si>
  <si>
    <t>Other Information
Line 8</t>
  </si>
  <si>
    <t>This line should be left blank for budget adoption. Once the BUDG75 Report is available, districts may recalculate carryforward amounts for reconciliation to ADE’s BUDG75 Report by filling in amounts on these lines from that report and zero filling the unexpended budget lines 10(a) through 10(e) below.</t>
  </si>
  <si>
    <t>Other Information
Line 9</t>
  </si>
  <si>
    <r>
      <t xml:space="preserve">For budget adoption, M&amp;O actual expenditures should be based upon the FY 2023 actual expenditures to date plus estimated expenditures for the remainder of the fiscal year including encumbrances.
</t>
    </r>
    <r>
      <rPr>
        <b/>
        <sz val="14"/>
        <rFont val="Times New Roman"/>
        <family val="1"/>
      </rPr>
      <t>Budget Revision</t>
    </r>
    <r>
      <rPr>
        <sz val="14"/>
        <rFont val="Times New Roman"/>
        <family val="1"/>
      </rPr>
      <t xml:space="preserve">
Enter actual total M&amp;O Fund expenditures, as reported on the district’s FY 2023 AFR.</t>
    </r>
  </si>
  <si>
    <t>Other Information
Line 10.f</t>
  </si>
  <si>
    <t>In accordance with A.R.S. §15-920, districts may budget any unexpended budget balance in the M&amp;O section attributable to the Performance Pay component in its salary schedule from FY 2023 for use in that component in FY 2024. The Performance Pay budget amount is the portion of FY 2023 M&amp;O expenditures budgeted for a performance pay component of the salary schedule shown on the FY 2023 Budget, page 2. Additionally, the amount calculated on this line, is specifically exempt from the RCL and should be entered on the Budget, page 7, line 8(g).</t>
  </si>
  <si>
    <t>Other Information
 Line 12</t>
  </si>
  <si>
    <r>
      <rPr>
        <b/>
        <sz val="14"/>
        <rFont val="Times New Roman"/>
        <family val="1"/>
      </rPr>
      <t>Districts receiving Impact Aid revenues only:</t>
    </r>
    <r>
      <rPr>
        <sz val="14"/>
        <rFont val="Times New Roman"/>
        <family val="1"/>
      </rPr>
      <t xml:space="preserve">
Include the amount from the most recent FY 2023 designated “Voucher for Impact Aid Section 8003 Payments,” “Total Payments Summary” line not including any section 8005(d)(2)-Late Applicant 10% Payment Reduction and any section 8007 construction amounts that would be included in Fund 699—Federal Impact Aid (Construction). Also, include any Section 8002 payments and any prior year Impact Aid payments expected to be received after the FY 2023 encumbrance period and recorded in FY 2024 revenues. </t>
    </r>
  </si>
  <si>
    <t>Other Information
 Line 14</t>
  </si>
  <si>
    <r>
      <rPr>
        <b/>
        <sz val="14"/>
        <rFont val="Times New Roman"/>
        <family val="1"/>
      </rPr>
      <t>Districts receiving Impact Aid revenues only:</t>
    </r>
    <r>
      <rPr>
        <sz val="14"/>
        <rFont val="Times New Roman"/>
        <family val="1"/>
      </rPr>
      <t xml:space="preserve">
Districts that do not levy taxes to cover the difference between the equalization assistance funding provided through the TSL and the locally funded TRCL, may transfer Impact Aid cash to the M&amp;O Fund to provide funding for the TSL/TRCL difference. The TSL/TRCL difference is shown to the right and the amount entered on line 14 should not exceed this amount.</t>
    </r>
  </si>
  <si>
    <t>Other Information
 Line 15</t>
  </si>
  <si>
    <r>
      <rPr>
        <b/>
        <sz val="14"/>
        <rFont val="Times New Roman"/>
        <family val="1"/>
      </rPr>
      <t>Districts receiving Impact Aid revenues only:</t>
    </r>
    <r>
      <rPr>
        <sz val="14"/>
        <rFont val="Times New Roman"/>
        <family val="1"/>
      </rPr>
      <t xml:space="preserve">
This line could include the amount of the qualifying tax levy calculated on BSA 55-1, page 5 for districts that do not levy taxes.</t>
    </r>
  </si>
  <si>
    <t>Other Information
 Line 17</t>
  </si>
  <si>
    <r>
      <rPr>
        <b/>
        <sz val="14"/>
        <rFont val="Times New Roman"/>
        <family val="1"/>
      </rPr>
      <t>Districts operating under a small school adjustment only:</t>
    </r>
    <r>
      <rPr>
        <sz val="14"/>
        <rFont val="Times New Roman"/>
        <family val="1"/>
      </rPr>
      <t xml:space="preserve">
This section applies to any district that operated under the provisions of the small school adjustment, in accordance with A.R.S. §15-949(A), and exceeded the allowable student counts in the current year. Districts may hold an override election as provided in A.R.S. §15-481. Select the checkbox to calculate the maximum amount the district may budget on Budget, page 7, line 3(a), subject to an override election. The calculated amount will be displayed in the appropriate section of the Calculations tab. 
For purposes of small school adjustment, the FY 2024 student count is the 2023 ADM. Districts that activate this checkbox </t>
    </r>
    <r>
      <rPr>
        <b/>
        <u/>
        <sz val="14"/>
        <rFont val="Times New Roman"/>
        <family val="1"/>
      </rPr>
      <t>must</t>
    </r>
    <r>
      <rPr>
        <sz val="14"/>
        <rFont val="Times New Roman"/>
        <family val="1"/>
      </rPr>
      <t xml:space="preserve"> also complete line 18 below.</t>
    </r>
  </si>
  <si>
    <t>Other Information
 Line 18</t>
  </si>
  <si>
    <r>
      <rPr>
        <b/>
        <sz val="14"/>
        <rFont val="Times New Roman"/>
        <family val="1"/>
      </rPr>
      <t>Districts operating under a small school adjustment only:</t>
    </r>
    <r>
      <rPr>
        <sz val="14"/>
        <rFont val="Times New Roman"/>
        <family val="1"/>
      </rPr>
      <t xml:space="preserve">
Enter the fiscal year that the district exceeded the allowable student counts for the first time as a 4 digit year. For assistance in determining the proper fiscal year to enter on this line districts should contact ADE, School Finance at the email address below.</t>
    </r>
  </si>
  <si>
    <t>Accommodation District
(Type 01) Information
Line 1</t>
  </si>
  <si>
    <r>
      <rPr>
        <b/>
        <sz val="14"/>
        <rFont val="Times New Roman"/>
        <family val="1"/>
      </rPr>
      <t>Accommodation districts only:</t>
    </r>
    <r>
      <rPr>
        <sz val="14"/>
        <rFont val="Times New Roman"/>
        <family val="1"/>
      </rPr>
      <t xml:space="preserve">
Accommodation districts that offer instruction in grades 9-12 should mark the check box to increase the transportation activity support level factor in accordance with A.R.S. §15-945.</t>
    </r>
  </si>
  <si>
    <t>Accommodation District
(Type 01) Information
Line 2</t>
  </si>
  <si>
    <r>
      <rPr>
        <b/>
        <sz val="14"/>
        <rFont val="Times New Roman"/>
        <family val="1"/>
      </rPr>
      <t>Accommodation districts only:</t>
    </r>
    <r>
      <rPr>
        <sz val="14"/>
        <rFont val="Times New Roman"/>
        <family val="1"/>
      </rPr>
      <t xml:space="preserve">
Only accommodation schools with a student count of </t>
    </r>
    <r>
      <rPr>
        <b/>
        <sz val="14"/>
        <rFont val="Times New Roman"/>
        <family val="1"/>
      </rPr>
      <t>more</t>
    </r>
    <r>
      <rPr>
        <sz val="14"/>
        <rFont val="Times New Roman"/>
        <family val="1"/>
      </rPr>
      <t xml:space="preserve"> than 125 in grades K-8 or accommodation schools that offer instruction in grades 9-12 and have a student count of </t>
    </r>
    <r>
      <rPr>
        <b/>
        <sz val="14"/>
        <rFont val="Times New Roman"/>
        <family val="1"/>
      </rPr>
      <t>more</t>
    </r>
    <r>
      <rPr>
        <sz val="14"/>
        <rFont val="Times New Roman"/>
        <family val="1"/>
      </rPr>
      <t xml:space="preserve"> than 100 in grades 9-12, should complete lines 2 through 4. 
The maximum RCL addition that may be authorized by the County School Superintendent is displayed on Calculations tab, Calculation of M&amp;O Fund Budget Balance Carryforward, line 15.e. The amount entered on page 7, line 7 cannot exceed this amount.</t>
    </r>
  </si>
  <si>
    <t>Calculations</t>
  </si>
  <si>
    <t>This page uses formulas and the information entered on the Cover and the Data Entry page to make the calculations for certain budget items. Cells highlighted in pink contain a link to the related cell on the Data Entry page. 
As no data is entered on this page, all cells are locked and formulas should not be changed without specific instructions from either the Arizona Auditor General's Accountability Services Division or ADE, School Finance.</t>
  </si>
  <si>
    <t>BSA55</t>
  </si>
  <si>
    <t xml:space="preserve">Amounts entered on the Data Entry page will automatically populate the appropriate fields on the BSA55 page. Districts should compare and, when necessary, revise budgeted amounts to agree to the district's BSA 55-1 report, after it is issued by ADE. </t>
  </si>
  <si>
    <t>Page 2, Audit Service Expense</t>
  </si>
  <si>
    <t>The amount shown for audit expense may not agree to the District's actual BSA 55-1 report from ADE until the amount is manually entered by ADE later in the fiscal year.</t>
  </si>
  <si>
    <t>Page 3,
Activity Trip Level Factors</t>
  </si>
  <si>
    <r>
      <t xml:space="preserve">In accordance with A.R.S. §15-945(B), the support level for academic education, career and technical education, vocational education, and athletic trips is computed by multiplying the To and From School Support Level by the appropriate factor from the table below.
                                                           Route miles per eligible student
</t>
    </r>
    <r>
      <rPr>
        <u/>
        <sz val="14"/>
        <rFont val="Times New Roman"/>
        <family val="1"/>
      </rPr>
      <t>District type</t>
    </r>
    <r>
      <rPr>
        <sz val="14"/>
        <rFont val="Times New Roman"/>
        <family val="1"/>
      </rPr>
      <t xml:space="preserve">                                   </t>
    </r>
    <r>
      <rPr>
        <u/>
        <sz val="14"/>
        <rFont val="Times New Roman"/>
        <family val="1"/>
      </rPr>
      <t>1.0 or less</t>
    </r>
    <r>
      <rPr>
        <sz val="14"/>
        <rFont val="Times New Roman"/>
        <family val="1"/>
      </rPr>
      <t xml:space="preserve">                       </t>
    </r>
    <r>
      <rPr>
        <u/>
        <sz val="14"/>
        <rFont val="Times New Roman"/>
        <family val="1"/>
      </rPr>
      <t>More than 1.0</t>
    </r>
    <r>
      <rPr>
        <sz val="14"/>
        <rFont val="Times New Roman"/>
        <family val="1"/>
      </rPr>
      <t xml:space="preserve">
Type 01 w/o HS instruction                0.10                                   0.12
Type 01 w/ HS instruction                  0.15                                   0.18
Type 02                                                0.15                                   0.18
Type 03                                                0.15                                   0.18
Type 04                                                0.10                                   0.12
Type 05                                                0.25                                   0.30</t>
    </r>
  </si>
  <si>
    <t>Short-term Noninstructional Software Subscription</t>
  </si>
  <si>
    <r>
      <t xml:space="preserve">(Do </t>
    </r>
    <r>
      <rPr>
        <b/>
        <sz val="9"/>
        <color indexed="8"/>
        <rFont val="Times New Roman"/>
        <family val="1"/>
      </rPr>
      <t>not</t>
    </r>
    <r>
      <rPr>
        <sz val="9"/>
        <color indexed="8"/>
        <rFont val="Times New Roman"/>
        <family val="1"/>
      </rPr>
      <t xml:space="preserve"> include full-day kindergarten or summer school tuition)</t>
    </r>
  </si>
  <si>
    <t>Qualifying Tax Rate for elementary or secondary (CTEDs use 0.05) A.R.S. §41-1276(I), as amended 
by Laws 2023, Ch.142, §9</t>
  </si>
  <si>
    <t>Check box for Type 03 districts that educate high school students.</t>
  </si>
  <si>
    <t>TABLE III: 10% of K-8 Non-Qualifying RCL</t>
  </si>
  <si>
    <t>CALCULATION OF ADJUSTMENT FOR TUITION LOSS AND STUDENT REVENUE 
LOSS PHASE-DOWN (A.R.S. §§15-954 and 15-902.01)</t>
  </si>
  <si>
    <t xml:space="preserve">Amounts in the prior year columns should be recorded from the budget columns of the latest revised Budget for FY 2023. Amounts should be rounded to the nearest dollar. 
Districts should budget for FY 2024 retirement contributions at the rate of 12.14% and for long term disability at a rate of 0.15% for a total contribution rate of 12.29%. Districts should also budget for any applicable alternative contribution payments to state retirement at a rate of 9.99%. 
</t>
  </si>
  <si>
    <t>Added a column for districts to budget costs for Short-term Noninstructional Software Subscriptions.</t>
  </si>
  <si>
    <t>Laws 2023, Chapter 142, §2 repealed A.R.S. §15-249.08, which had established Fund 457—Results-based Funding. Removed line 27 on Page 6 and renumbered the lines below.</t>
  </si>
  <si>
    <r>
      <t xml:space="preserve">Districts charging tuition for full-day kindergarten and summer school should </t>
    </r>
    <r>
      <rPr>
        <u/>
        <sz val="14"/>
        <rFont val="Times New Roman"/>
        <family val="1"/>
      </rPr>
      <t>not</t>
    </r>
    <r>
      <rPr>
        <sz val="14"/>
        <rFont val="Times New Roman"/>
        <family val="1"/>
      </rPr>
      <t xml:space="preserve"> include an increase to the GBL. These tuition revenues should be recorded in the Community School Fund (520).
</t>
    </r>
    <r>
      <rPr>
        <b/>
        <sz val="14"/>
        <rFont val="Times New Roman"/>
        <family val="1"/>
      </rPr>
      <t>Budget Revision</t>
    </r>
    <r>
      <rPr>
        <sz val="14"/>
        <rFont val="Times New Roman"/>
        <family val="1"/>
      </rPr>
      <t xml:space="preserve">
Districts should compare actual tuition revenues received or expected to be received by June 30 to the amounts reported on lines 5(a) through (d) to determine whether the amounts must be decreased or may be increased.</t>
    </r>
  </si>
  <si>
    <t>Laws 2023, Ch. 133, §31 provided a onetime state aid supplement for FY 2024.</t>
  </si>
  <si>
    <t>Districts should report total PSD-12 average daily membership for fiscal year 2023 from the ADM20 report, the report is available on ADE's website. Districts should estimate 2024 current fiscal year ADM.</t>
  </si>
  <si>
    <r>
      <rPr>
        <b/>
        <sz val="14"/>
        <rFont val="Times New Roman"/>
        <family val="1"/>
      </rPr>
      <t>Current Year ADM</t>
    </r>
    <r>
      <rPr>
        <sz val="14"/>
        <rFont val="Times New Roman"/>
        <family val="1"/>
      </rPr>
      <t xml:space="preserve">
Current year ADM amounts are used to calculate the group A weighted student count and the weighted student count for the BSL calculation on the BSA55 page. 
For budget adoption, districts should estimate the student counts for Non-AOI, AOI Full-Time and AOI Part-Time for FY 2024. There are no ADE reports available to refer to at the time of budget adoption for these counts.
For common school districts not within a high school district (Type 03), the 9-12 column for these lines should include only those students in grades 9-12 that will be taught by the Type 03 district, if any. Type 03 districts should use the checkbox in P15 to confirm it is educating the students included in column I. 
The district of attendance educating 9-12 students from Type 03 districts should include those students in column I.
</t>
    </r>
    <r>
      <rPr>
        <b/>
        <sz val="14"/>
        <rFont val="Times New Roman"/>
        <family val="1"/>
      </rPr>
      <t>Budget Revision</t>
    </r>
    <r>
      <rPr>
        <sz val="14"/>
        <rFont val="Times New Roman"/>
        <family val="1"/>
      </rPr>
      <t xml:space="preserve">
Districts should update amounts on these lines to reflect 2024 100th-day ADM as reported on the ADM20 report, available on ADE's website.
</t>
    </r>
  </si>
  <si>
    <r>
      <t xml:space="preserve">For FY 2024, Laws 2023, Ch. 133, §31 provides total additional funding of $300,000,000 to school districts and charter schools on a pro rata basis. Districts should increase their budget limits by </t>
    </r>
    <r>
      <rPr>
        <b/>
        <sz val="14"/>
        <rFont val="Times New Roman"/>
        <family val="1"/>
      </rPr>
      <t>estimating</t>
    </r>
    <r>
      <rPr>
        <sz val="14"/>
        <rFont val="Times New Roman"/>
        <family val="1"/>
      </rPr>
      <t xml:space="preserve"> their portion of the increase by multiplying the district's percentage of statewide weighted student count, as reported on its most recent Classroom Site Fund Detail Report, by $300,000,000. </t>
    </r>
    <r>
      <rPr>
        <b/>
        <sz val="14"/>
        <rFont val="Times New Roman"/>
        <family val="1"/>
      </rPr>
      <t xml:space="preserve">However, actual amounts will vary and ADE will notify districts of the final amounts. </t>
    </r>
    <r>
      <rPr>
        <sz val="14"/>
        <rFont val="Times New Roman"/>
        <family val="1"/>
      </rPr>
      <t>District CSF Detail Reports can be accessed at link in row 77 above.</t>
    </r>
    <r>
      <rPr>
        <b/>
        <sz val="14"/>
        <rFont val="Times New Roman"/>
        <family val="1"/>
      </rPr>
      <t xml:space="preserve">
Budget Revision
</t>
    </r>
    <r>
      <rPr>
        <sz val="14"/>
        <rFont val="Times New Roman"/>
        <family val="1"/>
      </rPr>
      <t>Districts should compare actual additional funding received or expected to be received for the fiscal year to the amount reported on this line. The amount on this line cannot exceed the actual amount received for additional funding.</t>
    </r>
  </si>
  <si>
    <t>FY 2022 (A.R.S. §15-910.N, as amended by Laws 2022, Ch. 285, §3)</t>
  </si>
  <si>
    <t>Include amounts for Funds 300-399 Other Federal Projects (besides Funds 374—E-Rate and Fund 378—Impact Aid, as they are separately reported on lines 15 and 16, respectively). Districts should also include amounts budgeted for COVID-19 federal relief projects.</t>
  </si>
  <si>
    <t xml:space="preserve">In accordance with A.R.S. §15-977(G)(1), the per pupil amount is calculated based on estimated available resources in the Classroom Site Fund for the budget year and adjusted for prior year revenue carryforwards or shortfalls. However, actual payments to districts may differ from the estimated per pupil Classroom Site Fund allocation. The FY 2024 allocation for the district is $758 multiplied by the district’s district’s weighted student count (based on fundable students attending within the school district). The FY 2024 CSF actual payments detail reports will be available on ADE’s website at the link below beginning in August 2023. </t>
  </si>
  <si>
    <t>FY 2024 Truth in Taxation Base Limit (from FY 2023 TNT work sheet, line 3 + line 11)</t>
  </si>
  <si>
    <t>Valley Union High School District</t>
  </si>
  <si>
    <t>Cochise</t>
  </si>
  <si>
    <t>020522000</t>
  </si>
  <si>
    <t>Susan Ochoa</t>
  </si>
  <si>
    <t>Edgar Garcia</t>
  </si>
  <si>
    <t xml:space="preserve">Susan </t>
  </si>
  <si>
    <t>Ochoa</t>
  </si>
  <si>
    <t>sochoa@pearceschool.org</t>
  </si>
  <si>
    <t>Reyna</t>
  </si>
  <si>
    <t>Parra</t>
  </si>
  <si>
    <t>reynap@vuhs.net</t>
  </si>
  <si>
    <t>Lupe</t>
  </si>
  <si>
    <t>DeLaCruz</t>
  </si>
  <si>
    <t>lupe.delacruz@elfridaschools.org</t>
  </si>
  <si>
    <t>Davida</t>
  </si>
  <si>
    <t>Noble</t>
  </si>
  <si>
    <t>davida.noble@vuhs.net</t>
  </si>
  <si>
    <t>Richard</t>
  </si>
  <si>
    <t>Anderson</t>
  </si>
  <si>
    <t>richard.anderson@vuhs.net</t>
  </si>
  <si>
    <t>Ed</t>
  </si>
  <si>
    <t>Quillen</t>
  </si>
  <si>
    <t>Alfredo</t>
  </si>
  <si>
    <t>Zamora</t>
  </si>
  <si>
    <t>Allana</t>
  </si>
  <si>
    <t>Essary</t>
  </si>
  <si>
    <t xml:space="preserve">Alma </t>
  </si>
  <si>
    <t>Garcia</t>
  </si>
  <si>
    <t>Edgar</t>
  </si>
  <si>
    <t>edgar.garcia@vuhs.net</t>
  </si>
  <si>
    <t xml:space="preserve">Grace </t>
  </si>
  <si>
    <t>Poe</t>
  </si>
  <si>
    <t>grace.poe@vuhs.net</t>
  </si>
  <si>
    <t>520-642-3492</t>
  </si>
  <si>
    <t>www.vuhs.net</t>
  </si>
  <si>
    <t>Valley Union High School</t>
  </si>
  <si>
    <t>Proposed</t>
  </si>
  <si>
    <t>ed.quillen@vuhs.net</t>
  </si>
  <si>
    <t>alfredo.zamora@vuhs.net</t>
  </si>
  <si>
    <t>allana.essary@vuhs.net</t>
  </si>
  <si>
    <t>alma.garcia@vuhs.net</t>
  </si>
  <si>
    <t>520-826-3328</t>
  </si>
</sst>
</file>

<file path=xl/styles.xml><?xml version="1.0" encoding="utf-8"?>
<styleSheet xmlns="http://schemas.openxmlformats.org/spreadsheetml/2006/main">
  <numFmts count="34">
    <numFmt numFmtId="5" formatCode="&quot;$&quot;#,##0_);\(&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_)"/>
    <numFmt numFmtId="165" formatCode="0.0%"/>
    <numFmt numFmtId="166" formatCode="#,##0.000_);\(#,##0.000\)"/>
    <numFmt numFmtId="167" formatCode="#,##0.0_);\(#,##0.0\)"/>
    <numFmt numFmtId="168" formatCode="0_);\(0\)"/>
    <numFmt numFmtId="169" formatCode="#,##0.000"/>
    <numFmt numFmtId="170" formatCode="&quot;$&quot;#,##0"/>
    <numFmt numFmtId="171" formatCode="#,##0.0000_);[Red]\(#,##0.0000\)"/>
    <numFmt numFmtId="172" formatCode="#,##0.000_);[Red]\(#,##0.000\)"/>
    <numFmt numFmtId="173" formatCode="0.0000"/>
    <numFmt numFmtId="174" formatCode="#,##0.0000_);\(#,##0.0000\)"/>
    <numFmt numFmtId="175" formatCode="#,##0.0000"/>
    <numFmt numFmtId="176" formatCode="mmmm\ d\,\ yyyy"/>
    <numFmt numFmtId="177" formatCode="\(0E+00\);\(\-0E+00\)"/>
    <numFmt numFmtId="178" formatCode="0.000"/>
    <numFmt numFmtId="179" formatCode="_(&quot;$&quot;* #,##0_);_(&quot;$&quot;* \(#,##0\);_(&quot;$&quot;* &quot;-&quot;??_);_(@_)"/>
    <numFmt numFmtId="180" formatCode="[$-409]mmmm\ d\,\ yyyy;@"/>
    <numFmt numFmtId="181" formatCode="[&lt;=9999999]###\-####;\(###\)\ ###\-####"/>
    <numFmt numFmtId="182" formatCode="&quot;$&quot;#,##0.00"/>
    <numFmt numFmtId="183" formatCode="###\-###\-####"/>
    <numFmt numFmtId="184" formatCode="0.0000_);[Red]\(0.0000\)"/>
    <numFmt numFmtId="185" formatCode="_(* #,##0_);_(* \(#,##0\);_(* &quot;-&quot;??_);_(@_)"/>
    <numFmt numFmtId="186" formatCode="_(&quot;$&quot;* #,##0.00_);_(&quot;$&quot;* \(#,##0.00\);_(&quot;$&quot;* &quot;-&quot;?????_);_(@_)"/>
    <numFmt numFmtId="187" formatCode="_(* #,##0.000000_);_(* \(#,##0.000000\);_(* &quot;-&quot;??_);_(@_)"/>
    <numFmt numFmtId="188" formatCode="0.0000000000%"/>
    <numFmt numFmtId="189" formatCode="#,##0.0000000000_);\(#,##0.0000000000\)"/>
    <numFmt numFmtId="190" formatCode="0.0000_);\(0.0000\)"/>
  </numFmts>
  <fonts count="111">
    <font>
      <sz val="12"/>
      <name val="Arial"/>
      <family val="2"/>
    </font>
    <font>
      <sz val="10"/>
      <name val="Arial"/>
      <family val="2"/>
    </font>
    <font>
      <sz val="12"/>
      <name val="Times New Roman"/>
      <family val="1"/>
    </font>
    <font>
      <sz val="10"/>
      <name val="Times New Roman"/>
      <family val="1"/>
    </font>
    <font>
      <sz val="11"/>
      <name val="Times New Roman"/>
      <family val="1"/>
    </font>
    <font>
      <sz val="8"/>
      <name val="Times New Roman"/>
      <family val="1"/>
    </font>
    <font>
      <b/>
      <sz val="12"/>
      <name val="Times New Roman"/>
      <family val="1"/>
    </font>
    <font>
      <sz val="9"/>
      <name val="Times New Roman"/>
      <family val="1"/>
    </font>
    <font>
      <b/>
      <sz val="10"/>
      <name val="Times New Roman"/>
      <family val="1"/>
    </font>
    <font>
      <b/>
      <sz val="9"/>
      <name val="Times New Roman"/>
      <family val="1"/>
    </font>
    <font>
      <sz val="10"/>
      <color indexed="12"/>
      <name val="Times New Roman"/>
      <family val="1"/>
    </font>
    <font>
      <sz val="9"/>
      <color indexed="8"/>
      <name val="Times New Roman"/>
      <family val="1"/>
    </font>
    <font>
      <b/>
      <sz val="8"/>
      <color indexed="8"/>
      <name val="Times New Roman"/>
      <family val="1"/>
    </font>
    <font>
      <sz val="8"/>
      <color indexed="8"/>
      <name val="Times New Roman"/>
      <family val="1"/>
    </font>
    <font>
      <b/>
      <sz val="8"/>
      <name val="Times New Roman"/>
      <family val="1"/>
    </font>
    <font>
      <sz val="4"/>
      <name val="Times New Roman"/>
      <family val="1"/>
    </font>
    <font>
      <b/>
      <sz val="18"/>
      <name val="Times New Roman"/>
      <family val="1"/>
    </font>
    <font>
      <sz val="9"/>
      <name val="Arial MT"/>
      <family val="2"/>
    </font>
    <font>
      <sz val="12"/>
      <name val="Arial MT"/>
      <family val="2"/>
    </font>
    <font>
      <sz val="8"/>
      <name val="Arial MT"/>
      <family val="2"/>
    </font>
    <font>
      <b/>
      <sz val="8"/>
      <color indexed="8"/>
      <name val="Arial"/>
      <family val="2"/>
    </font>
    <font>
      <b/>
      <sz val="9"/>
      <color indexed="8"/>
      <name val="Times New Roman"/>
      <family val="1"/>
    </font>
    <font>
      <u/>
      <sz val="9"/>
      <color indexed="8"/>
      <name val="Times New Roman"/>
      <family val="1"/>
    </font>
    <font>
      <sz val="10"/>
      <color indexed="8"/>
      <name val="Times New Roman"/>
      <family val="1"/>
    </font>
    <font>
      <sz val="9"/>
      <name val="Arial"/>
      <family val="2"/>
    </font>
    <font>
      <sz val="11"/>
      <name val="Arial"/>
      <family val="2"/>
    </font>
    <font>
      <u/>
      <sz val="9"/>
      <color indexed="12"/>
      <name val="Arial"/>
      <family val="2"/>
    </font>
    <font>
      <b/>
      <vertAlign val="superscript"/>
      <sz val="8"/>
      <color indexed="8"/>
      <name val="Times New Roman"/>
      <family val="1"/>
    </font>
    <font>
      <sz val="8"/>
      <name val="Arial"/>
      <family val="2"/>
    </font>
    <font>
      <b/>
      <sz val="10"/>
      <color indexed="8"/>
      <name val="Times New Roman"/>
      <family val="1"/>
    </font>
    <font>
      <u/>
      <sz val="9"/>
      <color indexed="12"/>
      <name val="Times New Roman"/>
      <family val="1"/>
    </font>
    <font>
      <b/>
      <sz val="12"/>
      <name val="Arial"/>
      <family val="2"/>
    </font>
    <font>
      <sz val="12"/>
      <color indexed="8"/>
      <name val="Times New Roman"/>
      <family val="1"/>
    </font>
    <font>
      <sz val="12"/>
      <color indexed="9"/>
      <name val="Times New Roman"/>
      <family val="1"/>
    </font>
    <font>
      <sz val="10"/>
      <name val="Arial MT"/>
      <family val="2"/>
    </font>
    <font>
      <sz val="9"/>
      <color indexed="12"/>
      <name val="Times New Roman"/>
      <family val="1"/>
    </font>
    <font>
      <b/>
      <sz val="10"/>
      <color indexed="12"/>
      <name val="Times New Roman"/>
      <family val="1"/>
    </font>
    <font>
      <sz val="8"/>
      <color indexed="12"/>
      <name val="Times New Roman"/>
      <family val="1"/>
    </font>
    <font>
      <sz val="14"/>
      <name val="Times New Roman"/>
      <family val="1"/>
    </font>
    <font>
      <b/>
      <sz val="14"/>
      <name val="Times New Roman"/>
      <family val="1"/>
    </font>
    <font>
      <u/>
      <sz val="14"/>
      <name val="Times New Roman"/>
      <family val="1"/>
    </font>
    <font>
      <i/>
      <sz val="10"/>
      <name val="Times New Roman"/>
      <family val="1"/>
    </font>
    <font>
      <sz val="14"/>
      <name val="Franklin Gothic Medium"/>
      <family val="2"/>
    </font>
    <font>
      <b/>
      <sz val="8"/>
      <color indexed="12"/>
      <name val="Times New Roman"/>
      <family val="1"/>
    </font>
    <font>
      <b/>
      <u/>
      <sz val="9"/>
      <color indexed="12"/>
      <name val="Times New Roman"/>
      <family val="1"/>
    </font>
    <font>
      <u/>
      <sz val="10"/>
      <name val="Times New Roman"/>
      <family val="1"/>
    </font>
    <font>
      <sz val="10"/>
      <name val="Calibri"/>
      <family val="2"/>
    </font>
    <font>
      <sz val="14"/>
      <name val="Calibri"/>
      <family val="2"/>
    </font>
    <font>
      <u/>
      <sz val="9"/>
      <name val="Times New Roman"/>
      <family val="1"/>
    </font>
    <font>
      <strike/>
      <sz val="14"/>
      <name val="Times New Roman"/>
      <family val="1"/>
    </font>
    <font>
      <i/>
      <sz val="8"/>
      <name val="Times New Roman"/>
      <family val="1"/>
    </font>
    <font>
      <b/>
      <u/>
      <sz val="9"/>
      <name val="Times New Roman"/>
      <family val="1"/>
    </font>
    <font>
      <b/>
      <sz val="11"/>
      <name val="Times New Roman"/>
      <family val="1"/>
    </font>
    <font>
      <sz val="11"/>
      <name val="Calibri"/>
      <family val="2"/>
    </font>
    <font>
      <b/>
      <sz val="12"/>
      <color indexed="8"/>
      <name val="Times New Roman"/>
      <family val="1"/>
    </font>
    <font>
      <strike/>
      <sz val="12"/>
      <name val="Times New Roman"/>
      <family val="1"/>
    </font>
    <font>
      <strike/>
      <sz val="9"/>
      <name val="Times New Roman"/>
      <family val="1"/>
    </font>
    <font>
      <strike/>
      <sz val="9"/>
      <color indexed="12"/>
      <name val="Times New Roman"/>
      <family val="1"/>
    </font>
    <font>
      <b/>
      <u/>
      <sz val="8"/>
      <name val="Times New Roman"/>
      <family val="1"/>
    </font>
    <font>
      <u/>
      <sz val="8"/>
      <color indexed="12"/>
      <name val="Times New Roman"/>
      <family val="1"/>
    </font>
    <font>
      <b/>
      <u/>
      <sz val="14"/>
      <name val="Times New Roman"/>
      <family val="1"/>
    </font>
    <font>
      <i/>
      <sz val="9"/>
      <name val="Times New Roman"/>
      <family val="1"/>
    </font>
    <font>
      <sz val="12"/>
      <color theme="0"/>
      <name val="Times New Roman"/>
      <family val="1"/>
    </font>
    <font>
      <sz val="8"/>
      <color theme="1"/>
      <name val="Times New Roman"/>
      <family val="1"/>
    </font>
    <font>
      <b/>
      <sz val="12"/>
      <color rgb="FFFF0000"/>
      <name val="Times New Roman"/>
      <family val="1"/>
    </font>
    <font>
      <sz val="9"/>
      <color theme="1"/>
      <name val="Times New Roman"/>
      <family val="1"/>
    </font>
    <font>
      <sz val="10"/>
      <color theme="1"/>
      <name val="Times New Roman"/>
      <family val="1"/>
    </font>
    <font>
      <sz val="20"/>
      <color rgb="FFC00000"/>
      <name val="Times New Roman"/>
      <family val="1"/>
    </font>
    <font>
      <b/>
      <sz val="10"/>
      <color rgb="FF0000FF"/>
      <name val="Times New Roman"/>
      <family val="1"/>
    </font>
    <font>
      <b/>
      <sz val="10"/>
      <color rgb="FFFF0000"/>
      <name val="Arial"/>
      <family val="2"/>
    </font>
    <font>
      <sz val="12"/>
      <color theme="0"/>
      <name val="Arial"/>
      <family val="2"/>
    </font>
    <font>
      <b/>
      <sz val="9"/>
      <color rgb="FFFF0000"/>
      <name val="Arial"/>
      <family val="2"/>
    </font>
    <font>
      <sz val="9"/>
      <color theme="0"/>
      <name val="Times New Roman"/>
      <family val="1"/>
    </font>
    <font>
      <sz val="11"/>
      <color theme="0"/>
      <name val="Times New Roman"/>
      <family val="1"/>
    </font>
    <font>
      <u/>
      <sz val="9"/>
      <color rgb="FF0000FF"/>
      <name val="Times New Roman"/>
      <family val="1"/>
    </font>
    <font>
      <b/>
      <sz val="8"/>
      <color theme="0"/>
      <name val="Times New Roman"/>
      <family val="1"/>
    </font>
    <font>
      <b/>
      <sz val="12"/>
      <color rgb="FFFF0000"/>
      <name val="Arial"/>
      <family val="2"/>
    </font>
    <font>
      <sz val="9"/>
      <color rgb="FFFF0000"/>
      <name val="Times New Roman"/>
      <family val="1"/>
    </font>
    <font>
      <sz val="9"/>
      <color rgb="FF3333FF"/>
      <name val="Times New Roman"/>
      <family val="1"/>
    </font>
    <font>
      <b/>
      <sz val="8"/>
      <color theme="1"/>
      <name val="Times New Roman"/>
      <family val="1"/>
    </font>
    <font>
      <b/>
      <sz val="12"/>
      <color theme="1"/>
      <name val="Times New Roman"/>
      <family val="1"/>
    </font>
    <font>
      <sz val="12"/>
      <color rgb="FFFF0000"/>
      <name val="Arial"/>
      <family val="2"/>
    </font>
    <font>
      <sz val="11"/>
      <color rgb="FF7030A0"/>
      <name val="Times New Roman"/>
      <family val="1"/>
    </font>
    <font>
      <sz val="12"/>
      <color rgb="FF7030A0"/>
      <name val="Arial"/>
      <family val="2"/>
    </font>
    <font>
      <b/>
      <sz val="8"/>
      <color rgb="FFFF0000"/>
      <name val="Times New Roman"/>
      <family val="1"/>
    </font>
    <font>
      <sz val="11"/>
      <color theme="1"/>
      <name val="Times New Roman"/>
      <family val="1"/>
    </font>
    <font>
      <sz val="8"/>
      <color rgb="FFFF0000"/>
      <name val="Times New Roman"/>
      <family val="1"/>
    </font>
    <font>
      <strike/>
      <sz val="10"/>
      <color rgb="FFFF0000"/>
      <name val="Arial"/>
      <family val="2"/>
    </font>
    <font>
      <strike/>
      <sz val="9"/>
      <color rgb="FFFF0000"/>
      <name val="Times New Roman"/>
      <family val="1"/>
    </font>
    <font>
      <sz val="10"/>
      <color rgb="FFFF0000"/>
      <name val="Times New Roman"/>
      <family val="1"/>
    </font>
    <font>
      <strike/>
      <sz val="10"/>
      <color rgb="FFFF0000"/>
      <name val="Times New Roman"/>
      <family val="1"/>
    </font>
    <font>
      <sz val="12"/>
      <color theme="1"/>
      <name val="Times New Roman"/>
      <family val="1"/>
    </font>
    <font>
      <sz val="8"/>
      <color rgb="FF0000FF"/>
      <name val="Times New Roman"/>
      <family val="1"/>
    </font>
    <font>
      <sz val="11"/>
      <color rgb="FFFF0000"/>
      <name val="Times New Roman"/>
      <family val="1"/>
    </font>
    <font>
      <sz val="8"/>
      <color theme="0"/>
      <name val="Times New Roman"/>
      <family val="1"/>
    </font>
    <font>
      <sz val="9"/>
      <color theme="0"/>
      <name val="Arial MT"/>
      <family val="2"/>
    </font>
    <font>
      <b/>
      <sz val="14"/>
      <color rgb="FFFF0000"/>
      <name val="Arial"/>
      <family val="2"/>
    </font>
    <font>
      <b/>
      <sz val="11"/>
      <color rgb="FF0A0101"/>
      <name val="Times New Roman"/>
      <family val="1"/>
    </font>
    <font>
      <b/>
      <sz val="10"/>
      <color theme="1"/>
      <name val="Times New Roman"/>
      <family val="1"/>
    </font>
    <font>
      <b/>
      <sz val="9"/>
      <color rgb="FFFF0000"/>
      <name val="Arial MT"/>
      <family val="2"/>
    </font>
    <font>
      <sz val="12"/>
      <color theme="1"/>
      <name val="Arial"/>
      <family val="2"/>
    </font>
    <font>
      <b/>
      <sz val="14"/>
      <color rgb="FFC00000"/>
      <name val="Times New Roman"/>
      <family val="1"/>
    </font>
    <font>
      <b/>
      <sz val="8"/>
      <color rgb="FFFF0000"/>
      <name val="Arial MT"/>
      <family val="2"/>
    </font>
    <font>
      <b/>
      <sz val="13"/>
      <color rgb="FFFF0000"/>
      <name val="Times New Roman"/>
      <family val="1"/>
    </font>
    <font>
      <b/>
      <sz val="14"/>
      <color rgb="FFFF0000"/>
      <name val="Times New Roman"/>
      <family val="1"/>
    </font>
    <font>
      <sz val="5"/>
      <name val="Times New Roman"/>
      <family val="1"/>
    </font>
    <font>
      <sz val="12"/>
      <name val="Arial"/>
      <family val="2"/>
    </font>
    <font>
      <b/>
      <sz val="9"/>
      <color rgb="FFFF0000"/>
      <name val="Times New Roman"/>
      <family val="1"/>
    </font>
    <font>
      <b/>
      <sz val="8"/>
      <color rgb="FFFF0000"/>
      <name val="Arial MT"/>
    </font>
    <font>
      <b/>
      <sz val="10"/>
      <color rgb="FFFF0000"/>
      <name val="Times New Roman"/>
      <family val="1"/>
    </font>
    <font>
      <sz val="11"/>
      <color rgb="FF0A0101"/>
      <name val="Times New Roman"/>
      <family val="1"/>
    </font>
  </fonts>
  <fills count="1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FF"/>
        <bgColor indexed="64"/>
      </patternFill>
    </fill>
    <fill>
      <patternFill patternType="solid">
        <fgColor rgb="FFFFFFCC"/>
        <bgColor indexed="64"/>
      </patternFill>
    </fill>
    <fill>
      <patternFill patternType="solid">
        <fgColor theme="9" tint="0.79992065187536243"/>
        <bgColor indexed="64"/>
      </patternFill>
    </fill>
    <fill>
      <patternFill patternType="solid">
        <fgColor theme="0" tint="-0.49992370372631001"/>
        <bgColor indexed="64"/>
      </patternFill>
    </fill>
    <fill>
      <patternFill patternType="solid">
        <fgColor theme="0" tint="-0.14993743705557422"/>
        <bgColor indexed="64"/>
      </patternFill>
    </fill>
    <fill>
      <patternFill patternType="solid">
        <fgColor indexed="55"/>
        <bgColor indexed="64"/>
      </patternFill>
    </fill>
    <fill>
      <patternFill patternType="solid">
        <fgColor rgb="FF969696"/>
        <bgColor indexed="64"/>
      </patternFill>
    </fill>
    <fill>
      <patternFill patternType="solid">
        <fgColor theme="5" tint="0.79992065187536243"/>
        <bgColor indexed="64"/>
      </patternFill>
    </fill>
    <fill>
      <patternFill patternType="solid">
        <fgColor rgb="FFD9D9D9"/>
        <bgColor indexed="64"/>
      </patternFill>
    </fill>
    <fill>
      <patternFill patternType="solid">
        <fgColor rgb="FFFFFFCC"/>
        <bgColor indexed="64"/>
      </patternFill>
    </fill>
    <fill>
      <patternFill patternType="solid">
        <fgColor theme="9" tint="0.79998168889431442"/>
        <bgColor indexed="64"/>
      </patternFill>
    </fill>
  </fills>
  <borders count="117">
    <border>
      <left/>
      <right/>
      <top/>
      <bottom/>
      <diagonal/>
    </border>
    <border>
      <left/>
      <right style="thin">
        <color indexed="8"/>
      </right>
      <top style="thin">
        <color indexed="8"/>
      </top>
      <bottom/>
      <diagonal/>
    </border>
    <border>
      <left style="thin">
        <color auto="1"/>
      </left>
      <right/>
      <top/>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style="thin">
        <color indexed="8"/>
      </left>
      <right/>
      <top style="thin">
        <color indexed="8"/>
      </top>
      <bottom/>
      <diagonal/>
    </border>
    <border>
      <left style="thin">
        <color indexed="8"/>
      </left>
      <right/>
      <top/>
      <bottom/>
      <diagonal/>
    </border>
    <border>
      <left/>
      <right/>
      <top style="thin">
        <color indexed="8"/>
      </top>
      <bottom style="thin">
        <color indexed="8"/>
      </bottom>
      <diagonal/>
    </border>
    <border>
      <left/>
      <right style="thin">
        <color indexed="8"/>
      </right>
      <top/>
      <bottom/>
      <diagonal/>
    </border>
    <border>
      <left style="thin">
        <color auto="1"/>
      </left>
      <right/>
      <top/>
      <bottom style="thin">
        <color auto="1"/>
      </bottom>
      <diagonal/>
    </border>
    <border>
      <left/>
      <right style="thin">
        <color auto="1"/>
      </right>
      <top/>
      <bottom style="thin">
        <color auto="1"/>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right/>
      <top/>
      <bottom style="thin">
        <color indexed="8"/>
      </bottom>
      <diagonal/>
    </border>
    <border>
      <left style="thin">
        <color indexed="8"/>
      </left>
      <right/>
      <top style="thin">
        <color indexed="8"/>
      </top>
      <bottom style="thin">
        <color indexed="8"/>
      </bottom>
      <diagonal/>
    </border>
    <border>
      <left/>
      <right/>
      <top style="thin">
        <color indexed="8"/>
      </top>
      <bottom/>
      <diagonal/>
    </border>
    <border>
      <left style="thin">
        <color indexed="8"/>
      </left>
      <right style="thin">
        <color indexed="8"/>
      </right>
      <top/>
      <bottom style="thin">
        <color indexed="8"/>
      </bottom>
      <diagonal/>
    </border>
    <border>
      <left/>
      <right/>
      <top style="thin">
        <color auto="1"/>
      </top>
      <bottom/>
      <diagonal/>
    </border>
    <border>
      <left/>
      <right style="thin">
        <color indexed="8"/>
      </right>
      <top/>
      <bottom style="thin">
        <color auto="1"/>
      </bottom>
      <diagonal/>
    </border>
    <border>
      <left style="thin">
        <color indexed="8"/>
      </left>
      <right style="thin">
        <color indexed="8"/>
      </right>
      <top/>
      <bottom style="medium">
        <color indexed="8"/>
      </bottom>
      <diagonal/>
    </border>
    <border>
      <left style="thin">
        <color indexed="8"/>
      </left>
      <right style="thin">
        <color auto="1"/>
      </right>
      <top style="thin">
        <color indexed="8"/>
      </top>
      <bottom/>
      <diagonal/>
    </border>
    <border>
      <left/>
      <right/>
      <top style="thin">
        <color auto="1"/>
      </top>
      <bottom style="thin">
        <color auto="1"/>
      </bottom>
      <diagonal/>
    </border>
    <border>
      <left/>
      <right/>
      <top/>
      <bottom style="thin">
        <color auto="1"/>
      </bottom>
      <diagonal/>
    </border>
    <border>
      <left style="thin">
        <color indexed="8"/>
      </left>
      <right style="thin">
        <color indexed="8"/>
      </right>
      <top style="medium">
        <color indexed="8"/>
      </top>
      <bottom style="double">
        <color indexed="8"/>
      </bottom>
      <diagonal/>
    </border>
    <border>
      <left style="thin">
        <color auto="1"/>
      </left>
      <right style="thin">
        <color auto="1"/>
      </right>
      <top/>
      <bottom/>
      <diagonal/>
    </border>
    <border>
      <left style="thin">
        <color auto="1"/>
      </left>
      <right/>
      <top style="thin">
        <color auto="1"/>
      </top>
      <bottom/>
      <diagonal/>
    </border>
    <border>
      <left style="thin">
        <color auto="1"/>
      </left>
      <right style="thin">
        <color auto="1"/>
      </right>
      <top style="thin">
        <color auto="1"/>
      </top>
      <bottom/>
      <diagonal/>
    </border>
    <border>
      <left/>
      <right style="thin">
        <color auto="1"/>
      </right>
      <top/>
      <bottom/>
      <diagonal/>
    </border>
    <border>
      <left/>
      <right style="thin">
        <color auto="1"/>
      </right>
      <top/>
      <bottom style="thin">
        <color indexed="8"/>
      </bottom>
      <diagonal/>
    </border>
    <border>
      <left style="thin">
        <color indexed="8"/>
      </left>
      <right style="thin">
        <color indexed="8"/>
      </right>
      <top style="thin">
        <color auto="1"/>
      </top>
      <bottom/>
      <diagonal/>
    </border>
    <border>
      <left style="thin">
        <color indexed="8"/>
      </left>
      <right style="thin">
        <color indexed="8"/>
      </right>
      <top style="thin">
        <color indexed="8"/>
      </top>
      <bottom style="thin">
        <color auto="1"/>
      </bottom>
      <diagonal/>
    </border>
    <border>
      <left style="thin">
        <color auto="1"/>
      </left>
      <right style="thin">
        <color indexed="8"/>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indexed="8"/>
      </right>
      <top/>
      <bottom style="thin">
        <color auto="1"/>
      </bottom>
      <diagonal/>
    </border>
    <border>
      <left style="thin">
        <color indexed="8"/>
      </left>
      <right/>
      <top/>
      <bottom style="double">
        <color indexed="8"/>
      </bottom>
      <diagonal/>
    </border>
    <border>
      <left style="thin">
        <color indexed="8"/>
      </left>
      <right/>
      <top style="thin">
        <color indexed="8"/>
      </top>
      <bottom style="medium">
        <color indexed="8"/>
      </bottom>
      <diagonal/>
    </border>
    <border>
      <left/>
      <right style="thin">
        <color indexed="8"/>
      </right>
      <top style="thin">
        <color indexed="8"/>
      </top>
      <bottom style="medium">
        <color indexed="8"/>
      </bottom>
      <diagonal/>
    </border>
    <border>
      <left/>
      <right/>
      <top style="thin">
        <color indexed="8"/>
      </top>
      <bottom style="thin">
        <color auto="1"/>
      </bottom>
      <diagonal/>
    </border>
    <border>
      <left/>
      <right style="thin">
        <color indexed="8"/>
      </right>
      <top style="thin">
        <color indexed="8"/>
      </top>
      <bottom style="thin">
        <color indexed="8"/>
      </bottom>
      <diagonal/>
    </border>
    <border>
      <left style="thin">
        <color indexed="8"/>
      </left>
      <right style="thin">
        <color auto="1"/>
      </right>
      <top/>
      <bottom style="thin">
        <color indexed="8"/>
      </bottom>
      <diagonal/>
    </border>
    <border>
      <left style="thin">
        <color indexed="8"/>
      </left>
      <right/>
      <top style="double">
        <color indexed="8"/>
      </top>
      <bottom/>
      <diagonal/>
    </border>
    <border>
      <left/>
      <right style="thin">
        <color indexed="8"/>
      </right>
      <top style="double">
        <color indexed="8"/>
      </top>
      <bottom/>
      <diagonal/>
    </border>
    <border>
      <left style="thin">
        <color indexed="8"/>
      </left>
      <right style="thin">
        <color indexed="8"/>
      </right>
      <top style="double">
        <color indexed="8"/>
      </top>
      <bottom/>
      <diagonal/>
    </border>
    <border>
      <left/>
      <right/>
      <top style="thin">
        <color theme="1"/>
      </top>
      <bottom style="thin">
        <color theme="1"/>
      </bottom>
      <diagonal/>
    </border>
    <border>
      <left/>
      <right style="thin">
        <color auto="1"/>
      </right>
      <top style="thin">
        <color auto="1"/>
      </top>
      <bottom style="thin">
        <color auto="1"/>
      </bottom>
      <diagonal/>
    </border>
    <border>
      <left/>
      <right/>
      <top/>
      <bottom style="double">
        <color auto="1"/>
      </bottom>
      <diagonal/>
    </border>
    <border>
      <left style="thin">
        <color theme="1"/>
      </left>
      <right style="thin">
        <color theme="1"/>
      </right>
      <top style="thin">
        <color theme="1"/>
      </top>
      <bottom style="thin">
        <color theme="1"/>
      </bottom>
      <diagonal/>
    </border>
    <border>
      <left/>
      <right/>
      <top style="thin">
        <color auto="1"/>
      </top>
      <bottom style="double">
        <color auto="1"/>
      </bottom>
      <diagonal/>
    </border>
    <border>
      <left style="thin">
        <color indexed="8"/>
      </left>
      <right style="thin">
        <color auto="1"/>
      </right>
      <top style="thin">
        <color auto="1"/>
      </top>
      <bottom style="thin">
        <color auto="1"/>
      </bottom>
      <diagonal/>
    </border>
    <border>
      <left/>
      <right style="thin">
        <color auto="1"/>
      </right>
      <top style="thin">
        <color auto="1"/>
      </top>
      <bottom/>
      <diagonal/>
    </border>
    <border>
      <left/>
      <right/>
      <top style="thin">
        <color auto="1"/>
      </top>
      <bottom style="thin">
        <color indexed="8"/>
      </bottom>
      <diagonal/>
    </border>
    <border>
      <left style="thin">
        <color auto="1"/>
      </left>
      <right style="thin">
        <color auto="1"/>
      </right>
      <top/>
      <bottom style="thin">
        <color auto="1"/>
      </bottom>
      <diagonal/>
    </border>
    <border>
      <left style="thin">
        <color indexed="8"/>
      </left>
      <right style="thin">
        <color indexed="8"/>
      </right>
      <top style="medium">
        <color indexed="8"/>
      </top>
      <bottom/>
      <diagonal/>
    </border>
    <border>
      <left style="thin">
        <color indexed="8"/>
      </left>
      <right style="thin">
        <color auto="1"/>
      </right>
      <top style="thin">
        <color auto="1"/>
      </top>
      <bottom/>
      <diagonal/>
    </border>
    <border>
      <left style="thin">
        <color indexed="8"/>
      </left>
      <right style="thin">
        <color indexed="8"/>
      </right>
      <top style="thin">
        <color indexed="8"/>
      </top>
      <bottom style="medium">
        <color indexed="8"/>
      </bottom>
      <diagonal/>
    </border>
    <border>
      <left style="thin">
        <color indexed="8"/>
      </left>
      <right style="thin">
        <color auto="1"/>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top style="thin">
        <color auto="1"/>
      </top>
      <bottom style="thin">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medium">
        <color auto="1"/>
      </left>
      <right/>
      <top/>
      <bottom style="medium">
        <color auto="1"/>
      </bottom>
      <diagonal/>
    </border>
    <border>
      <left style="thin">
        <color auto="1"/>
      </left>
      <right/>
      <top style="medium">
        <color auto="1"/>
      </top>
      <bottom/>
      <diagonal/>
    </border>
    <border>
      <left style="thin">
        <color auto="1"/>
      </left>
      <right style="thin">
        <color indexed="8"/>
      </right>
      <top style="thin">
        <color auto="1"/>
      </top>
      <bottom/>
      <diagonal/>
    </border>
    <border>
      <left style="thin">
        <color auto="1"/>
      </left>
      <right style="thin">
        <color indexed="8"/>
      </right>
      <top/>
      <bottom/>
      <diagonal/>
    </border>
    <border>
      <left style="thin">
        <color indexed="8"/>
      </left>
      <right style="thin">
        <color indexed="8"/>
      </right>
      <top/>
      <bottom style="thin">
        <color auto="1"/>
      </bottom>
      <diagonal/>
    </border>
    <border>
      <left style="thin">
        <color indexed="8"/>
      </left>
      <right style="thin">
        <color indexed="8"/>
      </right>
      <top style="thin">
        <color auto="1"/>
      </top>
      <bottom style="thin">
        <color auto="1"/>
      </bottom>
      <diagonal/>
    </border>
    <border>
      <left/>
      <right/>
      <top/>
      <bottom style="thin">
        <color theme="1"/>
      </bottom>
      <diagonal/>
    </border>
    <border>
      <left style="thin">
        <color auto="1"/>
      </left>
      <right/>
      <top/>
      <bottom style="medium">
        <color auto="1"/>
      </bottom>
      <diagonal/>
    </border>
    <border>
      <left/>
      <right style="thin">
        <color auto="1"/>
      </right>
      <top/>
      <bottom style="medium">
        <color auto="1"/>
      </bottom>
      <diagonal/>
    </border>
    <border>
      <left/>
      <right style="thin">
        <color auto="1"/>
      </right>
      <top/>
      <bottom style="double">
        <color auto="1"/>
      </bottom>
      <diagonal/>
    </border>
    <border>
      <left style="thin">
        <color indexed="8"/>
      </left>
      <right/>
      <top/>
      <bottom style="thin">
        <color auto="1"/>
      </bottom>
      <diagonal/>
    </border>
    <border>
      <left style="thin">
        <color theme="1"/>
      </left>
      <right style="thin">
        <color indexed="8"/>
      </right>
      <top style="thin">
        <color indexed="8"/>
      </top>
      <bottom style="thin">
        <color indexed="8"/>
      </bottom>
      <diagonal/>
    </border>
    <border>
      <left style="thin">
        <color indexed="8"/>
      </left>
      <right style="thin">
        <color auto="1"/>
      </right>
      <top/>
      <bottom style="thin">
        <color auto="1"/>
      </bottom>
      <diagonal/>
    </border>
    <border>
      <left style="thin">
        <color indexed="8"/>
      </left>
      <right style="thin">
        <color auto="1"/>
      </right>
      <top/>
      <bottom/>
      <diagonal/>
    </border>
    <border>
      <left/>
      <right/>
      <top/>
      <bottom style="medium">
        <color auto="1"/>
      </bottom>
      <diagonal/>
    </border>
    <border>
      <left style="medium">
        <color auto="1"/>
      </left>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right/>
      <top/>
      <bottom style="double">
        <color indexed="8"/>
      </bottom>
      <diagonal/>
    </border>
    <border>
      <left style="thin">
        <color indexed="8"/>
      </left>
      <right style="thin">
        <color indexed="8"/>
      </right>
      <top/>
      <bottom style="double">
        <color indexed="8"/>
      </bottom>
      <diagonal/>
    </border>
    <border>
      <left/>
      <right style="thin">
        <color theme="1"/>
      </right>
      <top/>
      <bottom/>
      <diagonal/>
    </border>
    <border>
      <left style="thin">
        <color indexed="8"/>
      </left>
      <right/>
      <top style="thin">
        <color auto="1"/>
      </top>
      <bottom/>
      <diagonal/>
    </border>
    <border>
      <left style="thin">
        <color auto="1"/>
      </left>
      <right style="thin">
        <color auto="1"/>
      </right>
      <top style="thin">
        <color indexed="8"/>
      </top>
      <bottom style="thin">
        <color auto="1"/>
      </bottom>
      <diagonal/>
    </border>
    <border>
      <left style="thin">
        <color indexed="8"/>
      </left>
      <right style="thin">
        <color indexed="8"/>
      </right>
      <top style="medium">
        <color auto="1"/>
      </top>
      <bottom style="thin">
        <color indexed="8"/>
      </bottom>
      <diagonal/>
    </border>
    <border>
      <left/>
      <right/>
      <top style="medium">
        <color auto="1"/>
      </top>
      <bottom/>
      <diagonal/>
    </border>
    <border>
      <left style="medium">
        <color auto="1"/>
      </left>
      <right/>
      <top/>
      <bottom/>
      <diagonal/>
    </border>
    <border>
      <left style="medium">
        <color auto="1"/>
      </left>
      <right style="medium">
        <color auto="1"/>
      </right>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double">
        <color auto="1"/>
      </bottom>
      <diagonal/>
    </border>
    <border>
      <left/>
      <right style="thin">
        <color auto="1"/>
      </right>
      <top style="thin">
        <color auto="1"/>
      </top>
      <bottom style="double">
        <color auto="1"/>
      </bottom>
      <diagonal/>
    </border>
    <border>
      <left style="thin">
        <color auto="1"/>
      </left>
      <right style="thin">
        <color auto="1"/>
      </right>
      <top style="thin">
        <color indexed="8"/>
      </top>
      <bottom/>
      <diagonal/>
    </border>
    <border>
      <left/>
      <right/>
      <top style="thin">
        <color theme="1"/>
      </top>
      <bottom/>
      <diagonal/>
    </border>
    <border>
      <left style="thin">
        <color theme="1"/>
      </left>
      <right/>
      <top style="thin">
        <color theme="1"/>
      </top>
      <bottom style="thin">
        <color auto="1"/>
      </bottom>
      <diagonal/>
    </border>
    <border>
      <left/>
      <right style="thin">
        <color theme="1"/>
      </right>
      <top style="thin">
        <color theme="1"/>
      </top>
      <bottom style="thin">
        <color auto="1"/>
      </bottom>
      <diagonal/>
    </border>
    <border>
      <left style="thin">
        <color auto="1"/>
      </left>
      <right style="thin">
        <color indexed="8"/>
      </right>
      <top style="thin">
        <color indexed="8"/>
      </top>
      <bottom/>
      <diagonal/>
    </border>
    <border>
      <left style="thin">
        <color auto="1"/>
      </left>
      <right style="thin">
        <color indexed="8"/>
      </right>
      <top style="thin">
        <color indexed="8"/>
      </top>
      <bottom style="thin">
        <color indexed="8"/>
      </bottom>
      <diagonal/>
    </border>
    <border>
      <left style="thin">
        <color indexed="8"/>
      </left>
      <right style="thin">
        <color auto="1"/>
      </right>
      <top style="thin">
        <color indexed="8"/>
      </top>
      <bottom style="medium">
        <color indexed="8"/>
      </bottom>
      <diagonal/>
    </border>
    <border>
      <left style="thin">
        <color auto="1"/>
      </left>
      <right style="thin">
        <color indexed="8"/>
      </right>
      <top style="thin">
        <color indexed="8"/>
      </top>
      <bottom style="medium">
        <color indexed="8"/>
      </bottom>
      <diagonal/>
    </border>
    <border>
      <left style="thin">
        <color indexed="8"/>
      </left>
      <right/>
      <top style="medium">
        <color indexed="8"/>
      </top>
      <bottom style="double">
        <color indexed="8"/>
      </bottom>
      <diagonal/>
    </border>
    <border>
      <left/>
      <right style="thin">
        <color indexed="8"/>
      </right>
      <top style="medium">
        <color indexed="8"/>
      </top>
      <bottom style="double">
        <color indexed="8"/>
      </bottom>
      <diagonal/>
    </border>
    <border>
      <left style="thin">
        <color indexed="8"/>
      </left>
      <right style="thin">
        <color auto="1"/>
      </right>
      <top style="thin">
        <color indexed="8"/>
      </top>
      <bottom style="double">
        <color indexed="8"/>
      </bottom>
      <diagonal/>
    </border>
    <border>
      <left style="thin">
        <color auto="1"/>
      </left>
      <right style="thin">
        <color indexed="8"/>
      </right>
      <top style="thin">
        <color indexed="8"/>
      </top>
      <bottom style="double">
        <color indexed="8"/>
      </bottom>
      <diagonal/>
    </border>
    <border>
      <left style="thin">
        <color indexed="8"/>
      </left>
      <right/>
      <top style="thin">
        <color auto="1"/>
      </top>
      <bottom style="thin">
        <color indexed="8"/>
      </bottom>
      <diagonal/>
    </border>
    <border>
      <left/>
      <right/>
      <top style="double">
        <color auto="1"/>
      </top>
      <bottom/>
      <diagonal/>
    </border>
    <border>
      <left style="thin">
        <color auto="1"/>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style="thin">
        <color indexed="64"/>
      </left>
      <right style="thin">
        <color indexed="8"/>
      </right>
      <top/>
      <bottom style="thin">
        <color indexed="64"/>
      </bottom>
      <diagonal/>
    </border>
    <border>
      <left style="thin">
        <color indexed="8"/>
      </left>
      <right style="thin">
        <color indexed="64"/>
      </right>
      <top/>
      <bottom style="thin">
        <color indexed="8"/>
      </bottom>
      <diagonal/>
    </border>
    <border>
      <left/>
      <right/>
      <top style="thin">
        <color indexed="64"/>
      </top>
      <bottom style="thin">
        <color indexed="64"/>
      </bottom>
      <diagonal/>
    </border>
  </borders>
  <cellStyleXfs count="22">
    <xf numFmtId="0" fontId="0" fillId="0" borderId="0" applyBorder="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06" fillId="0" borderId="0" applyNumberFormat="0" applyFill="0" applyBorder="0">
      <protection locked="0"/>
    </xf>
    <xf numFmtId="0" fontId="106" fillId="0" borderId="0" applyNumberFormat="0" applyFill="0" applyBorder="0">
      <protection locked="0"/>
    </xf>
    <xf numFmtId="0" fontId="26" fillId="0" borderId="0" applyNumberFormat="0" applyFill="0" applyBorder="0">
      <protection locked="0"/>
    </xf>
    <xf numFmtId="0" fontId="106" fillId="0" borderId="0" applyNumberFormat="0" applyFill="0" applyBorder="0">
      <protection locked="0"/>
    </xf>
    <xf numFmtId="0" fontId="106" fillId="0" borderId="0" applyNumberFormat="0" applyFill="0" applyBorder="0">
      <protection locked="0"/>
    </xf>
    <xf numFmtId="0" fontId="106" fillId="0" borderId="0" applyFont="0" applyBorder="0"/>
    <xf numFmtId="177" fontId="18" fillId="2" borderId="0"/>
    <xf numFmtId="0" fontId="17" fillId="2" borderId="0"/>
    <xf numFmtId="0" fontId="19" fillId="2" borderId="0"/>
    <xf numFmtId="0" fontId="19" fillId="2" borderId="0"/>
    <xf numFmtId="0" fontId="34" fillId="2" borderId="0"/>
    <xf numFmtId="0" fontId="34" fillId="2" borderId="0"/>
    <xf numFmtId="0" fontId="34" fillId="2" borderId="0"/>
    <xf numFmtId="0" fontId="17" fillId="2" borderId="0"/>
    <xf numFmtId="0" fontId="34" fillId="2" borderId="0"/>
    <xf numFmtId="0" fontId="34" fillId="2" borderId="0"/>
  </cellStyleXfs>
  <cellXfs count="1828">
    <xf numFmtId="0" fontId="0" fillId="0" borderId="0" xfId="0"/>
    <xf numFmtId="37" fontId="7" fillId="0" borderId="13" xfId="0" applyNumberFormat="1" applyFont="1" applyBorder="1" applyAlignment="1" applyProtection="1">
      <alignment horizontal="right"/>
      <protection locked="0"/>
    </xf>
    <xf numFmtId="37" fontId="11" fillId="2" borderId="14" xfId="13" applyNumberFormat="1" applyFont="1" applyBorder="1" applyProtection="1">
      <protection locked="0"/>
    </xf>
    <xf numFmtId="37" fontId="7" fillId="2" borderId="14" xfId="13" applyNumberFormat="1" applyFont="1" applyBorder="1" applyProtection="1">
      <protection locked="0"/>
    </xf>
    <xf numFmtId="3" fontId="7" fillId="0" borderId="17" xfId="0" applyNumberFormat="1" applyFont="1" applyBorder="1" applyProtection="1">
      <protection locked="0"/>
    </xf>
    <xf numFmtId="3" fontId="7" fillId="0" borderId="13" xfId="0" applyNumberFormat="1" applyFont="1" applyBorder="1" applyProtection="1">
      <protection locked="0"/>
    </xf>
    <xf numFmtId="37" fontId="11" fillId="0" borderId="13" xfId="0" applyNumberFormat="1" applyFont="1" applyBorder="1" applyProtection="1">
      <protection locked="0"/>
    </xf>
    <xf numFmtId="37" fontId="11" fillId="0" borderId="17" xfId="0" applyNumberFormat="1" applyFont="1" applyBorder="1" applyProtection="1">
      <protection locked="0"/>
    </xf>
    <xf numFmtId="37" fontId="11" fillId="0" borderId="20" xfId="0" applyNumberFormat="1" applyFont="1" applyBorder="1" applyProtection="1">
      <protection locked="0"/>
    </xf>
    <xf numFmtId="37" fontId="7" fillId="0" borderId="13" xfId="0" applyNumberFormat="1" applyFont="1" applyBorder="1" applyProtection="1">
      <protection locked="0"/>
    </xf>
    <xf numFmtId="37" fontId="7" fillId="0" borderId="17" xfId="0" applyNumberFormat="1" applyFont="1" applyBorder="1" applyProtection="1">
      <protection locked="0"/>
    </xf>
    <xf numFmtId="4" fontId="7" fillId="0" borderId="17" xfId="0" applyNumberFormat="1" applyFont="1" applyBorder="1" applyAlignment="1" applyProtection="1">
      <alignment horizontal="right"/>
      <protection locked="0"/>
    </xf>
    <xf numFmtId="4" fontId="7" fillId="0" borderId="13" xfId="0" applyNumberFormat="1" applyFont="1" applyBorder="1" applyAlignment="1" applyProtection="1">
      <alignment horizontal="right"/>
      <protection locked="0"/>
    </xf>
    <xf numFmtId="0" fontId="7" fillId="0" borderId="0" xfId="0" applyFont="1" applyProtection="1">
      <protection locked="0"/>
    </xf>
    <xf numFmtId="38" fontId="7" fillId="0" borderId="14" xfId="0" applyNumberFormat="1" applyFont="1" applyBorder="1" applyProtection="1">
      <protection locked="0"/>
    </xf>
    <xf numFmtId="174" fontId="7" fillId="0" borderId="17" xfId="0" applyNumberFormat="1" applyFont="1" applyBorder="1" applyProtection="1">
      <protection locked="0"/>
    </xf>
    <xf numFmtId="174" fontId="7" fillId="0" borderId="13" xfId="0" applyNumberFormat="1" applyFont="1" applyBorder="1" applyProtection="1">
      <protection locked="0"/>
    </xf>
    <xf numFmtId="37" fontId="7" fillId="0" borderId="22" xfId="4" applyNumberFormat="1" applyFont="1" applyBorder="1" applyProtection="1">
      <protection locked="0"/>
    </xf>
    <xf numFmtId="49" fontId="7" fillId="0" borderId="0" xfId="0" applyNumberFormat="1" applyFont="1" applyAlignment="1" applyProtection="1">
      <alignment horizontal="left"/>
      <protection locked="0"/>
    </xf>
    <xf numFmtId="37" fontId="7" fillId="0" borderId="22" xfId="0" applyNumberFormat="1" applyFont="1" applyBorder="1" applyProtection="1">
      <protection locked="0"/>
    </xf>
    <xf numFmtId="37" fontId="5" fillId="0" borderId="30" xfId="0" applyNumberFormat="1" applyFont="1" applyBorder="1" applyAlignment="1" applyProtection="1">
      <alignment horizontal="right"/>
      <protection locked="0"/>
    </xf>
    <xf numFmtId="37" fontId="5" fillId="0" borderId="31" xfId="0" applyNumberFormat="1" applyFont="1" applyBorder="1" applyAlignment="1" applyProtection="1">
      <alignment horizontal="right"/>
      <protection locked="0"/>
    </xf>
    <xf numFmtId="37" fontId="5" fillId="0" borderId="32" xfId="0" applyNumberFormat="1" applyFont="1" applyBorder="1" applyAlignment="1" applyProtection="1">
      <alignment horizontal="right"/>
      <protection locked="0"/>
    </xf>
    <xf numFmtId="37" fontId="5" fillId="0" borderId="33" xfId="0" applyNumberFormat="1" applyFont="1" applyBorder="1" applyAlignment="1" applyProtection="1">
      <alignment horizontal="right"/>
      <protection locked="0"/>
    </xf>
    <xf numFmtId="37" fontId="3" fillId="0" borderId="23" xfId="0" applyNumberFormat="1" applyFont="1" applyBorder="1" applyProtection="1">
      <protection locked="0"/>
    </xf>
    <xf numFmtId="49" fontId="3" fillId="0" borderId="14" xfId="0" applyNumberFormat="1" applyFont="1" applyBorder="1" applyAlignment="1" applyProtection="1">
      <alignment horizontal="center"/>
      <protection locked="0"/>
    </xf>
    <xf numFmtId="37" fontId="5" fillId="0" borderId="34" xfId="0" applyNumberFormat="1" applyFont="1" applyBorder="1" applyAlignment="1" applyProtection="1">
      <alignment horizontal="right"/>
      <protection locked="0"/>
    </xf>
    <xf numFmtId="42" fontId="7" fillId="0" borderId="23" xfId="2" applyNumberFormat="1" applyFont="1" applyBorder="1" applyProtection="1">
      <protection locked="0"/>
    </xf>
    <xf numFmtId="42" fontId="3" fillId="0" borderId="14" xfId="0" applyNumberFormat="1" applyFont="1" applyBorder="1" applyProtection="1">
      <protection locked="0"/>
    </xf>
    <xf numFmtId="42" fontId="23" fillId="0" borderId="14" xfId="0" applyNumberFormat="1" applyFont="1" applyBorder="1" applyAlignment="1" applyProtection="1">
      <alignment horizontal="right"/>
      <protection locked="0"/>
    </xf>
    <xf numFmtId="3" fontId="7" fillId="0" borderId="17" xfId="0" applyNumberFormat="1" applyFont="1" applyBorder="1" applyAlignment="1" applyProtection="1">
      <alignment horizontal="right"/>
      <protection locked="0"/>
    </xf>
    <xf numFmtId="37" fontId="7" fillId="0" borderId="23" xfId="4" applyNumberFormat="1" applyFont="1" applyBorder="1" applyProtection="1">
      <protection locked="0"/>
    </xf>
    <xf numFmtId="0" fontId="14" fillId="0" borderId="23" xfId="0" applyFont="1" applyBorder="1" applyProtection="1">
      <protection locked="0"/>
    </xf>
    <xf numFmtId="42" fontId="7" fillId="0" borderId="23" xfId="0" applyNumberFormat="1" applyFont="1" applyBorder="1" applyAlignment="1" applyProtection="1">
      <alignment horizontal="right"/>
      <protection locked="0"/>
    </xf>
    <xf numFmtId="37" fontId="7" fillId="0" borderId="9" xfId="0" applyNumberFormat="1" applyFont="1" applyBorder="1" applyProtection="1">
      <protection locked="0"/>
    </xf>
    <xf numFmtId="37" fontId="7" fillId="0" borderId="38" xfId="0" applyNumberFormat="1" applyFont="1" applyBorder="1" applyProtection="1">
      <protection locked="0"/>
    </xf>
    <xf numFmtId="4" fontId="7" fillId="0" borderId="17" xfId="0" applyNumberFormat="1" applyFont="1" applyBorder="1" applyProtection="1">
      <protection locked="0"/>
    </xf>
    <xf numFmtId="37" fontId="7" fillId="0" borderId="17" xfId="0" applyNumberFormat="1" applyFont="1" applyBorder="1" applyAlignment="1" applyProtection="1">
      <alignment horizontal="right"/>
      <protection locked="0"/>
    </xf>
    <xf numFmtId="37" fontId="7" fillId="0" borderId="40" xfId="0" applyNumberFormat="1" applyFont="1" applyBorder="1" applyAlignment="1" applyProtection="1">
      <alignment horizontal="right"/>
      <protection locked="0"/>
    </xf>
    <xf numFmtId="4" fontId="7" fillId="0" borderId="5" xfId="0" applyNumberFormat="1" applyFont="1" applyBorder="1" applyProtection="1">
      <protection locked="0"/>
    </xf>
    <xf numFmtId="3" fontId="7" fillId="0" borderId="5" xfId="0" applyNumberFormat="1" applyFont="1" applyBorder="1" applyProtection="1">
      <protection locked="0"/>
    </xf>
    <xf numFmtId="37" fontId="5" fillId="0" borderId="17" xfId="11" applyNumberFormat="1" applyFont="1" applyBorder="1" applyAlignment="1" applyProtection="1">
      <alignment horizontal="right"/>
      <protection locked="0"/>
    </xf>
    <xf numFmtId="37" fontId="5" fillId="0" borderId="13" xfId="11" applyNumberFormat="1" applyFont="1" applyBorder="1" applyAlignment="1" applyProtection="1">
      <alignment horizontal="right"/>
      <protection locked="0"/>
    </xf>
    <xf numFmtId="37" fontId="3" fillId="0" borderId="44" xfId="0" applyNumberFormat="1" applyFont="1" applyBorder="1" applyAlignment="1" applyProtection="1">
      <alignment horizontal="right"/>
      <protection locked="0"/>
    </xf>
    <xf numFmtId="37" fontId="7" fillId="2" borderId="22" xfId="13" applyNumberFormat="1" applyFont="1" applyBorder="1" applyProtection="1">
      <protection locked="0"/>
    </xf>
    <xf numFmtId="37" fontId="5" fillId="0" borderId="12" xfId="11" applyNumberFormat="1" applyFont="1" applyBorder="1" applyAlignment="1" applyProtection="1">
      <alignment horizontal="right"/>
      <protection locked="0"/>
    </xf>
    <xf numFmtId="3" fontId="7" fillId="0" borderId="3" xfId="0" applyNumberFormat="1" applyFont="1" applyBorder="1" applyProtection="1">
      <protection locked="0"/>
    </xf>
    <xf numFmtId="3" fontId="7" fillId="0" borderId="47" xfId="0" applyNumberFormat="1" applyFont="1" applyBorder="1" applyProtection="1">
      <protection locked="0"/>
    </xf>
    <xf numFmtId="3" fontId="7" fillId="0" borderId="4" xfId="0" applyNumberFormat="1" applyFont="1" applyBorder="1" applyProtection="1">
      <protection locked="0"/>
    </xf>
    <xf numFmtId="37" fontId="7" fillId="0" borderId="23" xfId="0" applyNumberFormat="1" applyFont="1" applyBorder="1" applyProtection="1">
      <protection locked="0"/>
    </xf>
    <xf numFmtId="37" fontId="11" fillId="0" borderId="22" xfId="13" quotePrefix="1" applyNumberFormat="1" applyFont="1" applyFill="1" applyBorder="1" applyProtection="1">
      <protection locked="0"/>
    </xf>
    <xf numFmtId="37" fontId="3" fillId="0" borderId="22" xfId="0" applyNumberFormat="1" applyFont="1" applyBorder="1" applyProtection="1">
      <protection locked="0"/>
    </xf>
    <xf numFmtId="37" fontId="5" fillId="0" borderId="52" xfId="0" applyNumberFormat="1" applyFont="1" applyBorder="1" applyAlignment="1" applyProtection="1">
      <alignment horizontal="right"/>
      <protection locked="0"/>
    </xf>
    <xf numFmtId="37" fontId="5" fillId="0" borderId="32" xfId="0" applyNumberFormat="1" applyFont="1" applyBorder="1" applyProtection="1">
      <protection locked="0"/>
    </xf>
    <xf numFmtId="37" fontId="7" fillId="2" borderId="23" xfId="13" applyNumberFormat="1" applyFont="1" applyBorder="1" applyProtection="1">
      <protection locked="0"/>
    </xf>
    <xf numFmtId="38" fontId="3" fillId="0" borderId="53" xfId="0" applyNumberFormat="1" applyFont="1" applyBorder="1" applyAlignment="1" applyProtection="1">
      <alignment vertical="top"/>
      <protection locked="0"/>
    </xf>
    <xf numFmtId="38" fontId="23" fillId="0" borderId="13" xfId="0" applyNumberFormat="1" applyFont="1" applyBorder="1" applyProtection="1">
      <protection locked="0"/>
    </xf>
    <xf numFmtId="38" fontId="23" fillId="0" borderId="12" xfId="0" applyNumberFormat="1" applyFont="1" applyBorder="1" applyProtection="1">
      <protection locked="0"/>
    </xf>
    <xf numFmtId="40" fontId="3" fillId="0" borderId="39" xfId="0" applyNumberFormat="1" applyFont="1" applyBorder="1" applyProtection="1">
      <protection locked="0"/>
    </xf>
    <xf numFmtId="1" fontId="3" fillId="0" borderId="0" xfId="0" applyNumberFormat="1" applyFont="1" applyAlignment="1" applyProtection="1">
      <alignment horizontal="right"/>
      <protection locked="0"/>
    </xf>
    <xf numFmtId="38" fontId="23" fillId="0" borderId="55" xfId="0" applyNumberFormat="1" applyFont="1" applyBorder="1" applyProtection="1">
      <protection locked="0"/>
    </xf>
    <xf numFmtId="37" fontId="5" fillId="0" borderId="45" xfId="0" applyNumberFormat="1" applyFont="1" applyBorder="1" applyProtection="1">
      <protection locked="0"/>
    </xf>
    <xf numFmtId="179" fontId="7" fillId="0" borderId="23" xfId="2" applyNumberFormat="1" applyFont="1" applyBorder="1" applyAlignment="1" applyProtection="1">
      <alignment horizontal="left"/>
      <protection locked="0"/>
    </xf>
    <xf numFmtId="37" fontId="11" fillId="0" borderId="23" xfId="13" quotePrefix="1" applyNumberFormat="1" applyFont="1" applyFill="1" applyBorder="1" applyProtection="1">
      <protection locked="0"/>
    </xf>
    <xf numFmtId="37" fontId="7" fillId="0" borderId="18" xfId="0" applyNumberFormat="1" applyFont="1" applyBorder="1" applyProtection="1">
      <protection locked="0"/>
    </xf>
    <xf numFmtId="0" fontId="4" fillId="0" borderId="33" xfId="0" applyFont="1" applyBorder="1" applyProtection="1">
      <protection locked="0"/>
    </xf>
    <xf numFmtId="0" fontId="4" fillId="0" borderId="47" xfId="0" applyFont="1" applyBorder="1" applyProtection="1">
      <protection locked="0"/>
    </xf>
    <xf numFmtId="183" fontId="4" fillId="0" borderId="33" xfId="0" applyNumberFormat="1" applyFont="1" applyBorder="1" applyProtection="1">
      <protection locked="0"/>
    </xf>
    <xf numFmtId="0" fontId="7" fillId="0" borderId="57" xfId="0" applyFont="1" applyBorder="1" applyProtection="1">
      <protection locked="0"/>
    </xf>
    <xf numFmtId="0" fontId="5" fillId="0" borderId="57" xfId="0" applyFont="1" applyBorder="1" applyProtection="1">
      <protection locked="0"/>
    </xf>
    <xf numFmtId="39" fontId="7" fillId="0" borderId="33" xfId="0" applyNumberFormat="1" applyFont="1" applyBorder="1" applyProtection="1">
      <protection locked="0"/>
    </xf>
    <xf numFmtId="166" fontId="7" fillId="6" borderId="33" xfId="0" applyNumberFormat="1" applyFont="1" applyFill="1" applyBorder="1" applyProtection="1">
      <protection locked="0"/>
    </xf>
    <xf numFmtId="39" fontId="7" fillId="6" borderId="33" xfId="0" applyNumberFormat="1" applyFont="1" applyFill="1" applyBorder="1" applyProtection="1">
      <protection locked="0"/>
    </xf>
    <xf numFmtId="174" fontId="7" fillId="6" borderId="33" xfId="0" applyNumberFormat="1" applyFont="1" applyFill="1" applyBorder="1" applyProtection="1">
      <protection locked="0"/>
    </xf>
    <xf numFmtId="7" fontId="7" fillId="6" borderId="33" xfId="0" applyNumberFormat="1" applyFont="1" applyFill="1" applyBorder="1" applyProtection="1">
      <protection locked="0"/>
    </xf>
    <xf numFmtId="7" fontId="7" fillId="0" borderId="33" xfId="0" applyNumberFormat="1" applyFont="1" applyBorder="1" applyProtection="1">
      <protection locked="0"/>
    </xf>
    <xf numFmtId="7" fontId="7" fillId="6" borderId="52" xfId="0" applyNumberFormat="1" applyFont="1" applyFill="1" applyBorder="1" applyProtection="1">
      <protection locked="0"/>
    </xf>
    <xf numFmtId="7" fontId="7" fillId="0" borderId="52" xfId="0" applyNumberFormat="1" applyFont="1" applyBorder="1" applyProtection="1">
      <protection locked="0"/>
    </xf>
    <xf numFmtId="37" fontId="13" fillId="0" borderId="13" xfId="15" applyNumberFormat="1" applyFont="1" applyFill="1" applyBorder="1" applyAlignment="1" applyProtection="1">
      <alignment horizontal="right"/>
      <protection locked="0"/>
    </xf>
    <xf numFmtId="37" fontId="13" fillId="0" borderId="17" xfId="15" applyNumberFormat="1" applyFont="1" applyFill="1" applyBorder="1" applyAlignment="1" applyProtection="1">
      <alignment horizontal="right"/>
      <protection locked="0"/>
    </xf>
    <xf numFmtId="37" fontId="13" fillId="0" borderId="33" xfId="15" applyNumberFormat="1" applyFont="1" applyFill="1" applyBorder="1" applyAlignment="1" applyProtection="1">
      <alignment horizontal="right"/>
      <protection locked="0"/>
    </xf>
    <xf numFmtId="0" fontId="5" fillId="0" borderId="33" xfId="0" applyFont="1" applyBorder="1" applyAlignment="1" applyProtection="1">
      <alignment horizontal="center"/>
      <protection locked="0"/>
    </xf>
    <xf numFmtId="40" fontId="3" fillId="3" borderId="13" xfId="0" applyNumberFormat="1" applyFont="1" applyFill="1" applyBorder="1" applyProtection="1">
      <protection locked="0"/>
    </xf>
    <xf numFmtId="37" fontId="7" fillId="0" borderId="12" xfId="0" applyNumberFormat="1" applyFont="1" applyBorder="1" applyProtection="1">
      <protection locked="0"/>
    </xf>
    <xf numFmtId="37" fontId="5" fillId="0" borderId="9" xfId="0" applyNumberFormat="1" applyFont="1" applyBorder="1" applyAlignment="1" applyProtection="1">
      <alignment horizontal="right"/>
      <protection locked="0"/>
    </xf>
    <xf numFmtId="49" fontId="4" fillId="0" borderId="33" xfId="0" applyNumberFormat="1" applyFont="1" applyBorder="1" applyAlignment="1" applyProtection="1">
      <alignment horizontal="right"/>
      <protection locked="0"/>
    </xf>
    <xf numFmtId="37" fontId="7" fillId="0" borderId="39" xfId="0" applyNumberFormat="1" applyFont="1" applyBorder="1" applyProtection="1">
      <protection locked="0"/>
    </xf>
    <xf numFmtId="168" fontId="7" fillId="0" borderId="33" xfId="0" applyNumberFormat="1" applyFont="1" applyBorder="1" applyProtection="1">
      <protection locked="0"/>
    </xf>
    <xf numFmtId="168" fontId="7" fillId="0" borderId="33" xfId="0" applyNumberFormat="1" applyFont="1" applyBorder="1" applyAlignment="1" applyProtection="1">
      <alignment horizontal="right"/>
      <protection locked="0"/>
    </xf>
    <xf numFmtId="166" fontId="7" fillId="0" borderId="33" xfId="0" applyNumberFormat="1" applyFont="1" applyBorder="1" applyProtection="1">
      <protection locked="0"/>
    </xf>
    <xf numFmtId="7" fontId="7" fillId="6" borderId="27" xfId="0" applyNumberFormat="1" applyFont="1" applyFill="1" applyBorder="1" applyProtection="1">
      <protection locked="0"/>
    </xf>
    <xf numFmtId="37" fontId="5" fillId="0" borderId="72" xfId="0" applyNumberFormat="1" applyFont="1" applyBorder="1" applyAlignment="1" applyProtection="1">
      <alignment horizontal="right"/>
      <protection locked="0"/>
    </xf>
    <xf numFmtId="37" fontId="5" fillId="0" borderId="13" xfId="0" applyNumberFormat="1" applyFont="1" applyBorder="1" applyAlignment="1" applyProtection="1">
      <alignment horizontal="right"/>
      <protection locked="0"/>
    </xf>
    <xf numFmtId="37" fontId="63" fillId="0" borderId="1" xfId="0" applyNumberFormat="1" applyFont="1" applyBorder="1" applyAlignment="1" applyProtection="1">
      <alignment horizontal="right"/>
      <protection locked="0"/>
    </xf>
    <xf numFmtId="1" fontId="63" fillId="0" borderId="45" xfId="4" applyNumberFormat="1" applyFont="1" applyFill="1" applyBorder="1" applyAlignment="1" applyProtection="1">
      <alignment horizontal="right" wrapText="1"/>
      <protection locked="0"/>
    </xf>
    <xf numFmtId="1" fontId="5" fillId="0" borderId="11" xfId="4" applyNumberFormat="1" applyFont="1" applyBorder="1" applyAlignment="1" applyProtection="1">
      <alignment horizontal="right"/>
      <protection locked="0"/>
    </xf>
    <xf numFmtId="38" fontId="66" fillId="0" borderId="73" xfId="0" applyNumberFormat="1" applyFont="1" applyBorder="1" applyProtection="1">
      <protection locked="0"/>
    </xf>
    <xf numFmtId="0" fontId="5" fillId="0" borderId="33" xfId="0" applyFont="1" applyBorder="1" applyProtection="1">
      <protection locked="0"/>
    </xf>
    <xf numFmtId="174" fontId="7" fillId="0" borderId="33" xfId="0" applyNumberFormat="1" applyFont="1" applyBorder="1" applyAlignment="1" applyProtection="1">
      <alignment horizontal="right"/>
      <protection locked="0"/>
    </xf>
    <xf numFmtId="174" fontId="7" fillId="0" borderId="33" xfId="0" applyNumberFormat="1" applyFont="1" applyBorder="1" applyProtection="1">
      <protection locked="0"/>
    </xf>
    <xf numFmtId="174" fontId="7" fillId="0" borderId="58" xfId="0" applyNumberFormat="1" applyFont="1" applyBorder="1" applyProtection="1">
      <protection locked="0"/>
    </xf>
    <xf numFmtId="174" fontId="7" fillId="0" borderId="33" xfId="0" applyNumberFormat="1" applyFont="1" applyBorder="1" applyAlignment="1" applyProtection="1">
      <alignment horizontal="right" vertical="top"/>
      <protection locked="0"/>
    </xf>
    <xf numFmtId="174" fontId="7" fillId="0" borderId="33" xfId="0" applyNumberFormat="1" applyFont="1" applyBorder="1" applyAlignment="1" applyProtection="1">
      <alignment vertical="top"/>
      <protection locked="0"/>
    </xf>
    <xf numFmtId="174" fontId="7" fillId="6" borderId="33" xfId="0" applyNumberFormat="1" applyFont="1" applyFill="1" applyBorder="1" applyAlignment="1" applyProtection="1">
      <alignment horizontal="right" vertical="top"/>
      <protection locked="0"/>
    </xf>
    <xf numFmtId="174" fontId="65" fillId="6" borderId="33" xfId="0" applyNumberFormat="1" applyFont="1" applyFill="1" applyBorder="1" applyAlignment="1" applyProtection="1">
      <alignment horizontal="right" vertical="top"/>
      <protection locked="0"/>
    </xf>
    <xf numFmtId="174" fontId="65" fillId="6" borderId="33" xfId="0" applyNumberFormat="1" applyFont="1" applyFill="1" applyBorder="1" applyProtection="1">
      <protection locked="0"/>
    </xf>
    <xf numFmtId="174" fontId="65" fillId="3" borderId="33" xfId="0" applyNumberFormat="1" applyFont="1" applyFill="1" applyBorder="1" applyAlignment="1" applyProtection="1">
      <alignment horizontal="right" vertical="top"/>
      <protection locked="0"/>
    </xf>
    <xf numFmtId="174" fontId="65" fillId="3" borderId="33" xfId="0" applyNumberFormat="1" applyFont="1" applyFill="1" applyBorder="1" applyProtection="1">
      <protection locked="0"/>
    </xf>
    <xf numFmtId="37" fontId="5" fillId="0" borderId="33" xfId="0" applyNumberFormat="1" applyFont="1" applyBorder="1" applyProtection="1">
      <protection locked="0"/>
    </xf>
    <xf numFmtId="5" fontId="7" fillId="6" borderId="33" xfId="0" applyNumberFormat="1" applyFont="1" applyFill="1" applyBorder="1" applyProtection="1">
      <protection locked="0"/>
    </xf>
    <xf numFmtId="5" fontId="7" fillId="0" borderId="33" xfId="0" applyNumberFormat="1" applyFont="1" applyBorder="1" applyProtection="1">
      <protection locked="0"/>
    </xf>
    <xf numFmtId="37" fontId="7" fillId="0" borderId="3" xfId="0" applyNumberFormat="1" applyFont="1" applyBorder="1" applyProtection="1">
      <protection locked="0"/>
    </xf>
    <xf numFmtId="49" fontId="14" fillId="0" borderId="23" xfId="14" applyNumberFormat="1" applyFont="1" applyFill="1" applyBorder="1" applyAlignment="1" applyProtection="1">
      <alignment horizontal="center"/>
      <protection locked="0"/>
    </xf>
    <xf numFmtId="3" fontId="7" fillId="0" borderId="12" xfId="0" applyNumberFormat="1" applyFont="1" applyBorder="1" applyProtection="1">
      <protection locked="0"/>
    </xf>
    <xf numFmtId="4" fontId="7" fillId="0" borderId="12" xfId="0" applyNumberFormat="1" applyFont="1" applyBorder="1" applyProtection="1">
      <protection locked="0"/>
    </xf>
    <xf numFmtId="37" fontId="7" fillId="0" borderId="0" xfId="0" applyNumberFormat="1" applyFont="1" applyProtection="1">
      <protection locked="0"/>
    </xf>
    <xf numFmtId="3" fontId="7" fillId="0" borderId="0" xfId="0" applyNumberFormat="1" applyFont="1" applyProtection="1">
      <protection locked="0"/>
    </xf>
    <xf numFmtId="37" fontId="7" fillId="2" borderId="0" xfId="13" applyNumberFormat="1" applyFont="1" applyProtection="1">
      <protection locked="0"/>
    </xf>
    <xf numFmtId="37" fontId="7" fillId="0" borderId="14" xfId="0" applyNumberFormat="1" applyFont="1" applyBorder="1" applyProtection="1">
      <protection locked="0"/>
    </xf>
    <xf numFmtId="37" fontId="3" fillId="0" borderId="23" xfId="0" applyNumberFormat="1" applyFont="1" applyBorder="1" applyAlignment="1" applyProtection="1">
      <alignment horizontal="right"/>
      <protection locked="0"/>
    </xf>
    <xf numFmtId="37" fontId="5" fillId="2" borderId="17" xfId="11" applyNumberFormat="1" applyFont="1" applyFill="1" applyBorder="1" applyAlignment="1" applyProtection="1">
      <alignment horizontal="right"/>
      <protection locked="0"/>
    </xf>
    <xf numFmtId="44" fontId="7" fillId="0" borderId="33" xfId="2" applyFont="1" applyBorder="1" applyProtection="1"/>
    <xf numFmtId="174" fontId="7" fillId="14" borderId="33" xfId="0" applyNumberFormat="1" applyFont="1" applyFill="1" applyBorder="1" applyAlignment="1" applyProtection="1">
      <alignment horizontal="right" vertical="top"/>
      <protection locked="0"/>
    </xf>
    <xf numFmtId="174" fontId="7" fillId="14" borderId="33" xfId="0" applyNumberFormat="1" applyFont="1" applyFill="1" applyBorder="1" applyProtection="1">
      <protection locked="0"/>
    </xf>
    <xf numFmtId="0" fontId="7" fillId="0" borderId="0" xfId="0" applyFont="1"/>
    <xf numFmtId="0" fontId="8" fillId="0" borderId="0" xfId="0" applyFont="1" applyAlignment="1">
      <alignment horizontal="right"/>
    </xf>
    <xf numFmtId="49" fontId="3" fillId="0" borderId="14" xfId="0" applyNumberFormat="1" applyFont="1" applyBorder="1" applyAlignment="1">
      <alignment horizontal="left"/>
    </xf>
    <xf numFmtId="0" fontId="2" fillId="0" borderId="0" xfId="0" applyFont="1"/>
    <xf numFmtId="49" fontId="3" fillId="0" borderId="14" xfId="0" applyNumberFormat="1" applyFont="1" applyBorder="1" applyAlignment="1">
      <alignment horizontal="center"/>
    </xf>
    <xf numFmtId="0" fontId="7" fillId="0" borderId="16" xfId="0" applyFont="1" applyBorder="1"/>
    <xf numFmtId="0" fontId="33" fillId="0" borderId="0" xfId="0" applyFont="1"/>
    <xf numFmtId="0" fontId="7" fillId="0" borderId="0" xfId="0" applyFont="1" applyAlignment="1">
      <alignment horizontal="right"/>
    </xf>
    <xf numFmtId="0" fontId="7" fillId="0" borderId="0" xfId="0" applyFont="1" applyAlignment="1">
      <alignment horizontal="left"/>
    </xf>
    <xf numFmtId="0" fontId="9" fillId="0" borderId="0" xfId="0" applyFont="1" applyAlignment="1">
      <alignment horizontal="left"/>
    </xf>
    <xf numFmtId="0" fontId="7" fillId="0" borderId="0" xfId="0" applyFont="1" applyAlignment="1">
      <alignment horizontal="center"/>
    </xf>
    <xf numFmtId="0" fontId="7" fillId="0" borderId="9" xfId="0" applyFont="1" applyBorder="1" applyAlignment="1">
      <alignment horizontal="center"/>
    </xf>
    <xf numFmtId="0" fontId="7" fillId="0" borderId="7" xfId="0" applyFont="1" applyBorder="1"/>
    <xf numFmtId="38" fontId="7" fillId="0" borderId="14" xfId="0" applyNumberFormat="1" applyFont="1" applyBorder="1"/>
    <xf numFmtId="0" fontId="7" fillId="0" borderId="0" xfId="0" applyFont="1" applyAlignment="1">
      <alignment horizontal="centerContinuous"/>
    </xf>
    <xf numFmtId="0" fontId="7" fillId="0" borderId="16" xfId="0" applyFont="1" applyBorder="1" applyAlignment="1">
      <alignment horizontal="center"/>
    </xf>
    <xf numFmtId="38" fontId="7" fillId="0" borderId="81" xfId="0" applyNumberFormat="1" applyFont="1" applyBorder="1"/>
    <xf numFmtId="0" fontId="35" fillId="4" borderId="0" xfId="8" applyFont="1" applyFill="1" applyProtection="1"/>
    <xf numFmtId="0" fontId="26" fillId="4" borderId="0" xfId="8" applyFill="1" applyProtection="1"/>
    <xf numFmtId="0" fontId="71" fillId="0" borderId="0" xfId="0" applyFont="1"/>
    <xf numFmtId="174" fontId="7" fillId="0" borderId="0" xfId="0" applyNumberFormat="1" applyFont="1"/>
    <xf numFmtId="173" fontId="7" fillId="0" borderId="0" xfId="0" applyNumberFormat="1" applyFont="1" applyAlignment="1">
      <alignment horizontal="center"/>
    </xf>
    <xf numFmtId="173" fontId="7" fillId="0" borderId="0" xfId="0" applyNumberFormat="1" applyFont="1"/>
    <xf numFmtId="0" fontId="69" fillId="0" borderId="0" xfId="0" applyFont="1"/>
    <xf numFmtId="0" fontId="30" fillId="0" borderId="0" xfId="8" applyFont="1" applyAlignment="1" applyProtection="1">
      <alignment wrapText="1"/>
    </xf>
    <xf numFmtId="0" fontId="7" fillId="0" borderId="9" xfId="0" applyFont="1" applyBorder="1" applyAlignment="1">
      <alignment wrapText="1"/>
    </xf>
    <xf numFmtId="0" fontId="30" fillId="0" borderId="0" xfId="8" applyFont="1" applyFill="1" applyProtection="1"/>
    <xf numFmtId="174" fontId="7" fillId="0" borderId="82" xfId="0" applyNumberFormat="1" applyFont="1" applyBorder="1"/>
    <xf numFmtId="0" fontId="9" fillId="0" borderId="0" xfId="0" applyFont="1"/>
    <xf numFmtId="0" fontId="48" fillId="0" borderId="0" xfId="0" applyFont="1" applyAlignment="1">
      <alignment horizontal="center"/>
    </xf>
    <xf numFmtId="0" fontId="64" fillId="0" borderId="0" xfId="0" applyFont="1"/>
    <xf numFmtId="0" fontId="7" fillId="0" borderId="0" xfId="0" applyFont="1" applyAlignment="1">
      <alignment vertical="top"/>
    </xf>
    <xf numFmtId="0" fontId="7" fillId="0" borderId="0" xfId="0" quotePrefix="1" applyFont="1" applyAlignment="1">
      <alignment horizontal="right"/>
    </xf>
    <xf numFmtId="0" fontId="7" fillId="0" borderId="0" xfId="0" applyFont="1" applyAlignment="1">
      <alignment wrapText="1"/>
    </xf>
    <xf numFmtId="14" fontId="7" fillId="0" borderId="0" xfId="0" applyNumberFormat="1" applyFont="1" applyAlignment="1">
      <alignment horizontal="left"/>
    </xf>
    <xf numFmtId="14" fontId="7" fillId="0" borderId="9" xfId="0" applyNumberFormat="1" applyFont="1" applyBorder="1" applyAlignment="1">
      <alignment horizontal="center"/>
    </xf>
    <xf numFmtId="165" fontId="7" fillId="0" borderId="0" xfId="0" applyNumberFormat="1" applyFont="1"/>
    <xf numFmtId="0" fontId="7" fillId="0" borderId="0" xfId="0" applyFont="1" applyAlignment="1">
      <alignment horizontal="justify" wrapText="1"/>
    </xf>
    <xf numFmtId="0" fontId="44" fillId="4" borderId="0" xfId="8" applyFont="1" applyFill="1" applyProtection="1"/>
    <xf numFmtId="0" fontId="7" fillId="0" borderId="0" xfId="0" applyFont="1" applyAlignment="1">
      <alignment horizontal="justify" vertical="top" wrapText="1"/>
    </xf>
    <xf numFmtId="0" fontId="69" fillId="0" borderId="0" xfId="0" quotePrefix="1" applyFont="1"/>
    <xf numFmtId="0" fontId="7" fillId="0" borderId="0" xfId="0" applyFont="1" applyAlignment="1">
      <alignment horizontal="center" wrapText="1"/>
    </xf>
    <xf numFmtId="0" fontId="62" fillId="0" borderId="0" xfId="0" applyFont="1"/>
    <xf numFmtId="37" fontId="7" fillId="0" borderId="14" xfId="0" applyNumberFormat="1" applyFont="1" applyBorder="1"/>
    <xf numFmtId="0" fontId="7" fillId="0" borderId="0" xfId="0" applyFont="1" applyBorder="1" applyAlignment="1">
      <alignment vertical="top"/>
    </xf>
    <xf numFmtId="9" fontId="7" fillId="0" borderId="0" xfId="1" applyFont="1" applyFill="1" applyBorder="1" applyProtection="1"/>
    <xf numFmtId="0" fontId="3" fillId="0" borderId="7" xfId="0" applyFont="1" applyBorder="1"/>
    <xf numFmtId="0" fontId="2" fillId="0" borderId="2" xfId="0" applyFont="1" applyBorder="1"/>
    <xf numFmtId="0" fontId="3" fillId="0" borderId="83" xfId="0" applyFont="1" applyBorder="1"/>
    <xf numFmtId="0" fontId="23" fillId="0" borderId="2" xfId="0" applyFont="1" applyBorder="1"/>
    <xf numFmtId="0" fontId="1" fillId="0" borderId="0" xfId="0" applyFont="1"/>
    <xf numFmtId="0" fontId="23" fillId="0" borderId="0" xfId="0" applyFont="1"/>
    <xf numFmtId="38" fontId="65" fillId="0" borderId="0" xfId="0" applyNumberFormat="1" applyFont="1" applyBorder="1"/>
    <xf numFmtId="0" fontId="24" fillId="0" borderId="0" xfId="0" applyFont="1"/>
    <xf numFmtId="0" fontId="55" fillId="0" borderId="0" xfId="0" applyFont="1"/>
    <xf numFmtId="0" fontId="3" fillId="0" borderId="0" xfId="0" applyFont="1"/>
    <xf numFmtId="0" fontId="56" fillId="0" borderId="0" xfId="0" applyFont="1"/>
    <xf numFmtId="0" fontId="57" fillId="0" borderId="0" xfId="0" quotePrefix="1" applyFont="1"/>
    <xf numFmtId="0" fontId="56" fillId="0" borderId="0" xfId="0" applyFont="1" applyAlignment="1">
      <alignment horizontal="center" wrapText="1"/>
    </xf>
    <xf numFmtId="0" fontId="56" fillId="0" borderId="0" xfId="0" applyFont="1" applyAlignment="1">
      <alignment horizontal="center"/>
    </xf>
    <xf numFmtId="0" fontId="56" fillId="0" borderId="0" xfId="0" applyFont="1" applyBorder="1" applyAlignment="1">
      <alignment horizontal="center"/>
    </xf>
    <xf numFmtId="0" fontId="24" fillId="0" borderId="0" xfId="0" applyFont="1" applyAlignment="1">
      <alignment horizontal="justify" vertical="top"/>
    </xf>
    <xf numFmtId="0" fontId="2" fillId="0" borderId="0" xfId="0" applyFont="1" applyBorder="1"/>
    <xf numFmtId="176" fontId="24" fillId="0" borderId="0" xfId="0" applyNumberFormat="1" applyFont="1" applyAlignment="1">
      <alignment horizontal="justify" vertical="top"/>
    </xf>
    <xf numFmtId="0" fontId="33" fillId="0" borderId="0" xfId="0" applyFont="1" applyProtection="1">
      <protection hidden="1"/>
    </xf>
    <xf numFmtId="0" fontId="3" fillId="0" borderId="14" xfId="0" applyFont="1" applyBorder="1" applyAlignment="1">
      <alignment horizontal="left"/>
    </xf>
    <xf numFmtId="49" fontId="3" fillId="0" borderId="68" xfId="0" applyNumberFormat="1" applyFont="1" applyBorder="1" applyAlignment="1">
      <alignment horizontal="center"/>
    </xf>
    <xf numFmtId="0" fontId="3" fillId="0" borderId="0" xfId="0" applyFont="1" applyAlignment="1">
      <alignment horizontal="center"/>
    </xf>
    <xf numFmtId="0" fontId="3" fillId="0" borderId="14" xfId="0" applyFont="1" applyBorder="1"/>
    <xf numFmtId="0" fontId="70" fillId="0" borderId="0" xfId="0" applyFont="1"/>
    <xf numFmtId="0" fontId="73" fillId="0" borderId="0" xfId="0" applyFont="1" applyAlignment="1">
      <alignment vertical="center"/>
    </xf>
    <xf numFmtId="0" fontId="25" fillId="0" borderId="0" xfId="0" applyFont="1"/>
    <xf numFmtId="0" fontId="4" fillId="0" borderId="0" xfId="0" applyFont="1"/>
    <xf numFmtId="0" fontId="4" fillId="0" borderId="33" xfId="0" applyFont="1" applyBorder="1"/>
    <xf numFmtId="0" fontId="4" fillId="0" borderId="0" xfId="0" applyFont="1" applyAlignment="1">
      <alignment vertical="center" wrapText="1"/>
    </xf>
    <xf numFmtId="0" fontId="4" fillId="0" borderId="0" xfId="0" applyFont="1" applyAlignment="1">
      <alignment vertical="center"/>
    </xf>
    <xf numFmtId="0" fontId="76" fillId="0" borderId="0" xfId="0" applyFont="1" applyAlignment="1">
      <alignment wrapText="1"/>
    </xf>
    <xf numFmtId="0" fontId="85" fillId="0" borderId="0" xfId="0" applyFont="1" applyAlignment="1">
      <alignment vertical="center"/>
    </xf>
    <xf numFmtId="0" fontId="81" fillId="0" borderId="0" xfId="0" applyFont="1"/>
    <xf numFmtId="0" fontId="93" fillId="0" borderId="0" xfId="0" applyFont="1"/>
    <xf numFmtId="0" fontId="76" fillId="0" borderId="0" xfId="0" applyFont="1" applyAlignment="1">
      <alignment horizontal="center" wrapText="1"/>
    </xf>
    <xf numFmtId="0" fontId="73" fillId="0" borderId="0" xfId="0" applyFont="1"/>
    <xf numFmtId="0" fontId="83" fillId="0" borderId="0" xfId="0" applyFont="1"/>
    <xf numFmtId="0" fontId="82" fillId="0" borderId="0" xfId="0" applyFont="1" applyAlignment="1">
      <alignment vertical="center"/>
    </xf>
    <xf numFmtId="183" fontId="4" fillId="0" borderId="0" xfId="0" applyNumberFormat="1" applyFont="1"/>
    <xf numFmtId="0" fontId="4" fillId="0" borderId="0" xfId="0" applyFont="1" applyBorder="1" applyAlignment="1">
      <alignment horizontal="left"/>
    </xf>
    <xf numFmtId="0" fontId="4" fillId="0" borderId="0" xfId="0" applyFont="1" applyBorder="1"/>
    <xf numFmtId="0" fontId="85" fillId="0" borderId="0" xfId="0" applyFont="1"/>
    <xf numFmtId="0" fontId="3" fillId="0" borderId="14" xfId="0" applyFont="1" applyBorder="1" applyAlignment="1">
      <alignment horizontal="center"/>
    </xf>
    <xf numFmtId="0" fontId="6" fillId="0" borderId="14" xfId="0" applyFont="1" applyBorder="1"/>
    <xf numFmtId="0" fontId="6" fillId="0" borderId="14" xfId="0" applyFont="1" applyBorder="1" applyAlignment="1">
      <alignment horizontal="centerContinuous"/>
    </xf>
    <xf numFmtId="0" fontId="2" fillId="0" borderId="14" xfId="0" applyFont="1" applyBorder="1" applyAlignment="1">
      <alignment horizontal="centerContinuous"/>
    </xf>
    <xf numFmtId="0" fontId="2" fillId="0" borderId="0" xfId="0" applyFont="1" applyAlignment="1">
      <alignment horizontal="centerContinuous"/>
    </xf>
    <xf numFmtId="0" fontId="2" fillId="0" borderId="0" xfId="0" applyFont="1" applyAlignment="1">
      <alignment horizontal="left"/>
    </xf>
    <xf numFmtId="0" fontId="7" fillId="0" borderId="6" xfId="0" applyFont="1" applyBorder="1"/>
    <xf numFmtId="0" fontId="7" fillId="0" borderId="7" xfId="0" applyFont="1" applyBorder="1" applyAlignment="1">
      <alignment horizontal="centerContinuous"/>
    </xf>
    <xf numFmtId="0" fontId="7" fillId="0" borderId="5" xfId="0" applyFont="1" applyBorder="1" applyAlignment="1">
      <alignment horizontal="center"/>
    </xf>
    <xf numFmtId="0" fontId="7" fillId="0" borderId="14" xfId="0" applyFont="1" applyBorder="1" applyAlignment="1">
      <alignment horizontal="centerContinuous"/>
    </xf>
    <xf numFmtId="0" fontId="7" fillId="0" borderId="12" xfId="0" applyFont="1" applyBorder="1"/>
    <xf numFmtId="0" fontId="7" fillId="0" borderId="3" xfId="0" applyFont="1" applyBorder="1" applyAlignment="1">
      <alignment horizontal="centerContinuous"/>
    </xf>
    <xf numFmtId="0" fontId="7" fillId="0" borderId="7" xfId="0" applyFont="1" applyBorder="1" applyAlignment="1">
      <alignment horizontal="center"/>
    </xf>
    <xf numFmtId="0" fontId="8" fillId="0" borderId="7" xfId="0" applyFont="1" applyBorder="1"/>
    <xf numFmtId="0" fontId="7" fillId="0" borderId="5" xfId="0" applyFont="1" applyBorder="1"/>
    <xf numFmtId="0" fontId="2" fillId="0" borderId="3" xfId="0" applyFont="1" applyBorder="1"/>
    <xf numFmtId="0" fontId="2" fillId="0" borderId="14" xfId="0" applyFont="1" applyBorder="1"/>
    <xf numFmtId="0" fontId="7" fillId="0" borderId="14" xfId="0" applyFont="1" applyBorder="1"/>
    <xf numFmtId="0" fontId="7" fillId="0" borderId="17" xfId="0" applyFont="1" applyBorder="1" applyAlignment="1">
      <alignment horizontal="center"/>
    </xf>
    <xf numFmtId="0" fontId="7" fillId="0" borderId="14" xfId="0" applyFont="1" applyBorder="1" applyAlignment="1">
      <alignment horizontal="center"/>
    </xf>
    <xf numFmtId="0" fontId="7" fillId="0" borderId="3" xfId="0" applyFont="1" applyBorder="1" applyAlignment="1">
      <alignment horizontal="center"/>
    </xf>
    <xf numFmtId="4" fontId="7" fillId="0" borderId="12" xfId="0" applyNumberFormat="1" applyFont="1" applyBorder="1"/>
    <xf numFmtId="3" fontId="7" fillId="0" borderId="12" xfId="0" applyNumberFormat="1" applyFont="1" applyBorder="1"/>
    <xf numFmtId="49" fontId="7" fillId="0" borderId="0" xfId="0" applyNumberFormat="1" applyFont="1" applyAlignment="1">
      <alignment horizontal="right"/>
    </xf>
    <xf numFmtId="3" fontId="7" fillId="0" borderId="17" xfId="0" applyNumberFormat="1" applyFont="1" applyBorder="1"/>
    <xf numFmtId="49" fontId="7" fillId="0" borderId="0" xfId="0" applyNumberFormat="1" applyFont="1" applyAlignment="1">
      <alignment horizontal="left"/>
    </xf>
    <xf numFmtId="4" fontId="7" fillId="2" borderId="17" xfId="0" applyNumberFormat="1" applyFont="1" applyFill="1" applyBorder="1" applyAlignment="1">
      <alignment horizontal="right"/>
    </xf>
    <xf numFmtId="4" fontId="7" fillId="0" borderId="17" xfId="0" applyNumberFormat="1" applyFont="1" applyBorder="1" applyAlignment="1">
      <alignment horizontal="right"/>
    </xf>
    <xf numFmtId="3" fontId="7" fillId="0" borderId="13" xfId="0" applyNumberFormat="1" applyFont="1" applyBorder="1"/>
    <xf numFmtId="3" fontId="7" fillId="2" borderId="13" xfId="0" applyNumberFormat="1" applyFont="1" applyFill="1" applyBorder="1"/>
    <xf numFmtId="165" fontId="7" fillId="2" borderId="13" xfId="0" applyNumberFormat="1" applyFont="1" applyFill="1" applyBorder="1"/>
    <xf numFmtId="49" fontId="35" fillId="4" borderId="0" xfId="8" applyNumberFormat="1" applyFont="1" applyFill="1" applyAlignment="1" applyProtection="1">
      <alignment horizontal="right"/>
    </xf>
    <xf numFmtId="49" fontId="7" fillId="0" borderId="9" xfId="0" applyNumberFormat="1" applyFont="1" applyBorder="1" applyAlignment="1">
      <alignment horizontal="right"/>
    </xf>
    <xf numFmtId="3" fontId="7" fillId="2" borderId="17" xfId="0" applyNumberFormat="1" applyFont="1" applyFill="1" applyBorder="1"/>
    <xf numFmtId="165" fontId="7" fillId="2" borderId="17" xfId="0" applyNumberFormat="1" applyFont="1" applyFill="1" applyBorder="1"/>
    <xf numFmtId="49" fontId="7" fillId="0" borderId="9" xfId="0" quotePrefix="1" applyNumberFormat="1" applyFont="1" applyBorder="1" applyAlignment="1">
      <alignment horizontal="right"/>
    </xf>
    <xf numFmtId="3" fontId="7" fillId="0" borderId="0" xfId="0" applyNumberFormat="1" applyFont="1"/>
    <xf numFmtId="0" fontId="65" fillId="0" borderId="9" xfId="0" quotePrefix="1" applyFont="1" applyBorder="1" applyAlignment="1">
      <alignment horizontal="right"/>
    </xf>
    <xf numFmtId="165" fontId="7" fillId="0" borderId="17" xfId="0" applyNumberFormat="1" applyFont="1" applyBorder="1"/>
    <xf numFmtId="49" fontId="7" fillId="0" borderId="0" xfId="0" quotePrefix="1" applyNumberFormat="1" applyFont="1" applyAlignment="1">
      <alignment horizontal="left"/>
    </xf>
    <xf numFmtId="0" fontId="7" fillId="0" borderId="7" xfId="0" applyFont="1" applyBorder="1" applyAlignment="1">
      <alignment horizontal="left"/>
    </xf>
    <xf numFmtId="0" fontId="7" fillId="0" borderId="0" xfId="0" applyFont="1" applyAlignment="1">
      <alignment horizontal="left" wrapText="1"/>
    </xf>
    <xf numFmtId="0" fontId="65" fillId="0" borderId="9" xfId="0" applyFont="1" applyBorder="1" applyAlignment="1">
      <alignment horizontal="right"/>
    </xf>
    <xf numFmtId="4" fontId="7" fillId="0" borderId="13" xfId="0" applyNumberFormat="1" applyFont="1" applyBorder="1" applyAlignment="1">
      <alignment horizontal="right"/>
    </xf>
    <xf numFmtId="165" fontId="7" fillId="0" borderId="13" xfId="0" applyNumberFormat="1" applyFont="1" applyBorder="1"/>
    <xf numFmtId="0" fontId="7" fillId="0" borderId="3" xfId="0" applyFont="1" applyBorder="1"/>
    <xf numFmtId="49" fontId="7" fillId="0" borderId="14" xfId="0" applyNumberFormat="1" applyFont="1" applyBorder="1" applyAlignment="1">
      <alignment horizontal="right"/>
    </xf>
    <xf numFmtId="4" fontId="7" fillId="2" borderId="13" xfId="0" applyNumberFormat="1" applyFont="1" applyFill="1" applyBorder="1" applyAlignment="1">
      <alignment horizontal="right"/>
    </xf>
    <xf numFmtId="3" fontId="7" fillId="0" borderId="13" xfId="0" applyNumberFormat="1" applyFont="1" applyBorder="1" applyAlignment="1">
      <alignment horizontal="right"/>
    </xf>
    <xf numFmtId="0" fontId="7" fillId="3" borderId="7" xfId="0" applyFont="1" applyFill="1" applyBorder="1"/>
    <xf numFmtId="0" fontId="65" fillId="0" borderId="0" xfId="0" applyFont="1" applyAlignment="1">
      <alignment horizontal="right"/>
    </xf>
    <xf numFmtId="4" fontId="7" fillId="0" borderId="12" xfId="0" applyNumberFormat="1" applyFont="1" applyBorder="1" applyAlignment="1">
      <alignment horizontal="right"/>
    </xf>
    <xf numFmtId="3" fontId="7" fillId="0" borderId="12" xfId="0" applyNumberFormat="1" applyFont="1" applyBorder="1" applyAlignment="1">
      <alignment horizontal="right"/>
    </xf>
    <xf numFmtId="49" fontId="7" fillId="0" borderId="1" xfId="0" applyNumberFormat="1" applyFont="1" applyBorder="1" applyAlignment="1">
      <alignment horizontal="right"/>
    </xf>
    <xf numFmtId="165" fontId="7" fillId="2" borderId="12" xfId="0" applyNumberFormat="1" applyFont="1" applyFill="1" applyBorder="1" applyAlignment="1">
      <alignment horizontal="right"/>
    </xf>
    <xf numFmtId="0" fontId="35" fillId="4" borderId="39" xfId="8" quotePrefix="1" applyFont="1" applyFill="1" applyBorder="1" applyAlignment="1" applyProtection="1">
      <alignment horizontal="right" vertical="center"/>
    </xf>
    <xf numFmtId="0" fontId="35" fillId="4" borderId="4" xfId="8" quotePrefix="1" applyFont="1" applyFill="1" applyBorder="1" applyAlignment="1" applyProtection="1">
      <alignment horizontal="right" vertical="center"/>
    </xf>
    <xf numFmtId="3" fontId="7" fillId="0" borderId="5" xfId="0" applyNumberFormat="1" applyFont="1" applyBorder="1"/>
    <xf numFmtId="3" fontId="7" fillId="0" borderId="5" xfId="0" applyNumberFormat="1" applyFont="1" applyBorder="1" applyAlignment="1">
      <alignment horizontal="right"/>
    </xf>
    <xf numFmtId="0" fontId="3" fillId="0" borderId="0" xfId="0" applyFont="1" applyAlignment="1">
      <alignment horizontal="centerContinuous"/>
    </xf>
    <xf numFmtId="0" fontId="3" fillId="0" borderId="0" xfId="0" applyFont="1" applyAlignment="1">
      <alignment horizontal="left"/>
    </xf>
    <xf numFmtId="0" fontId="77" fillId="0" borderId="0" xfId="0" applyFont="1" applyBorder="1"/>
    <xf numFmtId="0" fontId="65" fillId="0" borderId="0" xfId="0" applyFont="1" applyBorder="1"/>
    <xf numFmtId="0" fontId="65" fillId="0" borderId="0" xfId="0" applyFont="1"/>
    <xf numFmtId="0" fontId="65" fillId="0" borderId="0" xfId="0" quotePrefix="1" applyFont="1" applyBorder="1" applyAlignment="1">
      <alignment horizontal="right"/>
    </xf>
    <xf numFmtId="0" fontId="78" fillId="0" borderId="0" xfId="8" quotePrefix="1" applyFont="1" applyFill="1" applyBorder="1" applyAlignment="1" applyProtection="1">
      <alignment horizontal="right" vertical="center"/>
    </xf>
    <xf numFmtId="3" fontId="65" fillId="0" borderId="0" xfId="0" applyNumberFormat="1" applyFont="1" applyBorder="1"/>
    <xf numFmtId="0" fontId="65" fillId="0" borderId="0" xfId="0" quotePrefix="1" applyFont="1" applyBorder="1"/>
    <xf numFmtId="0" fontId="77" fillId="0" borderId="0" xfId="0" applyFont="1"/>
    <xf numFmtId="0" fontId="35" fillId="0" borderId="0" xfId="8" quotePrefix="1" applyFont="1" applyFill="1" applyAlignment="1" applyProtection="1">
      <alignment horizontal="right"/>
    </xf>
    <xf numFmtId="0" fontId="7" fillId="0" borderId="0" xfId="0" applyFont="1" applyBorder="1"/>
    <xf numFmtId="0" fontId="7" fillId="0" borderId="0" xfId="0" quotePrefix="1" applyFont="1"/>
    <xf numFmtId="0" fontId="2" fillId="0" borderId="0" xfId="0" applyFont="1" applyAlignment="1">
      <alignment horizontal="right"/>
    </xf>
    <xf numFmtId="0" fontId="8" fillId="0" borderId="0" xfId="0" applyFont="1" applyAlignment="1">
      <alignment horizontal="centerContinuous"/>
    </xf>
    <xf numFmtId="0" fontId="8" fillId="0" borderId="0" xfId="0" applyFont="1"/>
    <xf numFmtId="0" fontId="9" fillId="0" borderId="0" xfId="0" applyFont="1" applyAlignment="1">
      <alignment horizontal="center"/>
    </xf>
    <xf numFmtId="0" fontId="68" fillId="4" borderId="0" xfId="8" applyFont="1" applyFill="1" applyProtection="1"/>
    <xf numFmtId="38" fontId="3" fillId="0" borderId="0" xfId="0" applyNumberFormat="1" applyFont="1"/>
    <xf numFmtId="49" fontId="3" fillId="0" borderId="0" xfId="0" applyNumberFormat="1" applyFont="1" applyAlignment="1">
      <alignment horizontal="left"/>
    </xf>
    <xf numFmtId="0" fontId="10" fillId="4" borderId="0" xfId="8" quotePrefix="1" applyFont="1" applyFill="1" applyAlignment="1" applyProtection="1">
      <alignment horizontal="right"/>
    </xf>
    <xf numFmtId="0" fontId="3" fillId="0" borderId="0" xfId="0" applyFont="1" applyAlignment="1">
      <alignment vertical="top"/>
    </xf>
    <xf numFmtId="38" fontId="3" fillId="0" borderId="9" xfId="0" applyNumberFormat="1" applyFont="1" applyBorder="1" applyAlignment="1">
      <alignment vertical="top"/>
    </xf>
    <xf numFmtId="38" fontId="3" fillId="0" borderId="53" xfId="0" applyNumberFormat="1" applyFont="1" applyBorder="1" applyAlignment="1">
      <alignment vertical="top"/>
    </xf>
    <xf numFmtId="164" fontId="3" fillId="0" borderId="0" xfId="0" quotePrefix="1" applyNumberFormat="1" applyFont="1" applyAlignment="1">
      <alignment horizontal="left"/>
    </xf>
    <xf numFmtId="49" fontId="3" fillId="0" borderId="0" xfId="0" applyNumberFormat="1" applyFont="1" applyAlignment="1">
      <alignment horizontal="right"/>
    </xf>
    <xf numFmtId="0" fontId="36" fillId="4" borderId="0" xfId="8" applyFont="1" applyFill="1" applyAlignment="1" applyProtection="1">
      <alignment horizontal="left"/>
    </xf>
    <xf numFmtId="0" fontId="26" fillId="4" borderId="0" xfId="8" applyFill="1" applyAlignment="1" applyProtection="1">
      <alignment horizontal="left"/>
    </xf>
    <xf numFmtId="0" fontId="68" fillId="0" borderId="0" xfId="8" applyFont="1" applyAlignment="1" applyProtection="1">
      <alignment horizontal="left"/>
    </xf>
    <xf numFmtId="38" fontId="62" fillId="0" borderId="0" xfId="0" applyNumberFormat="1" applyFont="1"/>
    <xf numFmtId="164" fontId="3" fillId="0" borderId="0" xfId="0" quotePrefix="1" applyNumberFormat="1" applyFont="1" applyAlignment="1">
      <alignment horizontal="right"/>
    </xf>
    <xf numFmtId="38" fontId="23" fillId="0" borderId="9" xfId="0" applyNumberFormat="1" applyFont="1" applyBorder="1" applyAlignment="1">
      <alignment vertical="top"/>
    </xf>
    <xf numFmtId="38" fontId="23" fillId="0" borderId="13" xfId="0" applyNumberFormat="1" applyFont="1" applyBorder="1" applyAlignment="1">
      <alignment vertical="top"/>
    </xf>
    <xf numFmtId="0" fontId="8" fillId="0" borderId="0" xfId="0" applyFont="1" applyAlignment="1">
      <alignment horizontal="center"/>
    </xf>
    <xf numFmtId="0" fontId="41" fillId="0" borderId="0" xfId="0" applyFont="1" applyAlignment="1">
      <alignment horizontal="center"/>
    </xf>
    <xf numFmtId="164" fontId="10" fillId="4" borderId="0" xfId="8" quotePrefix="1" applyNumberFormat="1" applyFont="1" applyFill="1" applyAlignment="1" applyProtection="1">
      <alignment horizontal="right"/>
    </xf>
    <xf numFmtId="0" fontId="3" fillId="0" borderId="0" xfId="0" quotePrefix="1" applyFont="1"/>
    <xf numFmtId="0" fontId="3" fillId="0" borderId="0" xfId="0" applyFont="1" applyAlignment="1">
      <alignment horizontal="right"/>
    </xf>
    <xf numFmtId="49" fontId="3" fillId="0" borderId="0" xfId="0" quotePrefix="1" applyNumberFormat="1" applyFont="1" applyAlignment="1">
      <alignment horizontal="right"/>
    </xf>
    <xf numFmtId="38" fontId="23" fillId="0" borderId="12" xfId="0" applyNumberFormat="1" applyFont="1" applyBorder="1" applyAlignment="1">
      <alignment vertical="top"/>
    </xf>
    <xf numFmtId="49" fontId="3" fillId="0" borderId="0" xfId="0" quotePrefix="1" applyNumberFormat="1" applyFont="1"/>
    <xf numFmtId="0" fontId="3" fillId="3" borderId="0" xfId="0" applyFont="1" applyFill="1"/>
    <xf numFmtId="38" fontId="23" fillId="3" borderId="9" xfId="0" applyNumberFormat="1" applyFont="1" applyFill="1" applyBorder="1" applyAlignment="1">
      <alignment vertical="top"/>
    </xf>
    <xf numFmtId="42" fontId="3" fillId="0" borderId="0" xfId="0" applyNumberFormat="1" applyFont="1"/>
    <xf numFmtId="0" fontId="66" fillId="0" borderId="0" xfId="0" quotePrefix="1" applyFont="1" applyAlignment="1">
      <alignment horizontal="right"/>
    </xf>
    <xf numFmtId="168" fontId="3" fillId="0" borderId="0" xfId="0" applyNumberFormat="1" applyFont="1" applyAlignment="1">
      <alignment horizontal="left"/>
    </xf>
    <xf numFmtId="164" fontId="8" fillId="0" borderId="0" xfId="0" applyNumberFormat="1" applyFont="1" applyAlignment="1">
      <alignment horizontal="center"/>
    </xf>
    <xf numFmtId="164" fontId="3" fillId="0" borderId="0" xfId="0" applyNumberFormat="1" applyFont="1" applyAlignment="1">
      <alignment horizontal="right"/>
    </xf>
    <xf numFmtId="0" fontId="0" fillId="0" borderId="9" xfId="0" applyBorder="1"/>
    <xf numFmtId="49" fontId="3" fillId="0" borderId="0" xfId="0" quotePrefix="1" applyNumberFormat="1" applyFont="1" applyAlignment="1">
      <alignment horizontal="left"/>
    </xf>
    <xf numFmtId="0" fontId="66" fillId="0" borderId="0" xfId="0" applyFont="1"/>
    <xf numFmtId="0" fontId="91" fillId="0" borderId="0" xfId="0" applyFont="1"/>
    <xf numFmtId="0" fontId="32" fillId="0" borderId="0" xfId="0" applyFont="1"/>
    <xf numFmtId="38" fontId="66" fillId="0" borderId="73" xfId="0" applyNumberFormat="1" applyFont="1" applyBorder="1"/>
    <xf numFmtId="49" fontId="66" fillId="0" borderId="0" xfId="0" quotePrefix="1" applyNumberFormat="1" applyFont="1" applyAlignment="1">
      <alignment horizontal="left"/>
    </xf>
    <xf numFmtId="0" fontId="23" fillId="0" borderId="0" xfId="0" applyFont="1" applyAlignment="1">
      <alignment horizontal="left"/>
    </xf>
    <xf numFmtId="0" fontId="23" fillId="0" borderId="0" xfId="0" applyFont="1" applyAlignment="1">
      <alignment horizontal="right" wrapText="1"/>
    </xf>
    <xf numFmtId="0" fontId="16" fillId="0" borderId="0" xfId="0" applyFont="1"/>
    <xf numFmtId="0" fontId="8" fillId="0" borderId="0" xfId="0" applyFont="1" applyAlignment="1">
      <alignment horizontal="left"/>
    </xf>
    <xf numFmtId="0" fontId="2" fillId="0" borderId="0" xfId="0" quotePrefix="1" applyFont="1"/>
    <xf numFmtId="0" fontId="3" fillId="0" borderId="0" xfId="0" applyFont="1" applyAlignment="1">
      <alignment horizontal="left" vertical="top"/>
    </xf>
    <xf numFmtId="37" fontId="3" fillId="0" borderId="14" xfId="0" applyNumberFormat="1" applyFont="1" applyBorder="1" applyAlignment="1">
      <alignment horizontal="left"/>
    </xf>
    <xf numFmtId="172" fontId="3" fillId="0" borderId="0" xfId="0" applyNumberFormat="1" applyFont="1"/>
    <xf numFmtId="164" fontId="3" fillId="0" borderId="14" xfId="0" applyNumberFormat="1" applyFont="1" applyBorder="1" applyAlignment="1">
      <alignment horizontal="left"/>
    </xf>
    <xf numFmtId="0" fontId="3" fillId="3" borderId="0" xfId="2" applyNumberFormat="1" applyFont="1" applyFill="1" applyAlignment="1" applyProtection="1">
      <alignment horizontal="right"/>
    </xf>
    <xf numFmtId="42" fontId="3" fillId="3" borderId="0" xfId="2" applyNumberFormat="1" applyFont="1" applyFill="1" applyAlignment="1" applyProtection="1">
      <alignment horizontal="right"/>
    </xf>
    <xf numFmtId="0" fontId="4" fillId="3" borderId="0" xfId="0" applyFont="1" applyFill="1" applyAlignment="1">
      <alignment horizontal="right" wrapText="1"/>
    </xf>
    <xf numFmtId="0" fontId="2" fillId="3" borderId="0" xfId="0" applyFont="1" applyFill="1"/>
    <xf numFmtId="0" fontId="2" fillId="0" borderId="0" xfId="0" quotePrefix="1" applyFont="1" applyAlignment="1">
      <alignment horizontal="right"/>
    </xf>
    <xf numFmtId="0" fontId="10" fillId="3" borderId="0" xfId="8" quotePrefix="1" applyFont="1" applyFill="1" applyAlignment="1" applyProtection="1">
      <alignment horizontal="right"/>
    </xf>
    <xf numFmtId="2" fontId="23" fillId="3" borderId="0" xfId="0" applyNumberFormat="1" applyFont="1" applyFill="1" applyAlignment="1">
      <alignment horizontal="right"/>
    </xf>
    <xf numFmtId="0" fontId="3" fillId="0" borderId="13" xfId="0" applyFont="1" applyBorder="1" applyAlignment="1">
      <alignment horizontal="center"/>
    </xf>
    <xf numFmtId="40" fontId="3" fillId="0" borderId="13" xfId="0" applyNumberFormat="1" applyFont="1" applyBorder="1"/>
    <xf numFmtId="37" fontId="23" fillId="3" borderId="0" xfId="0" applyNumberFormat="1" applyFont="1" applyFill="1" applyAlignment="1">
      <alignment horizontal="left"/>
    </xf>
    <xf numFmtId="37" fontId="29" fillId="3" borderId="0" xfId="0" applyNumberFormat="1" applyFont="1" applyFill="1" applyAlignment="1">
      <alignment horizontal="center"/>
    </xf>
    <xf numFmtId="37" fontId="23" fillId="3" borderId="0" xfId="0" applyNumberFormat="1" applyFont="1" applyFill="1" applyAlignment="1">
      <alignment horizontal="right"/>
    </xf>
    <xf numFmtId="170" fontId="23" fillId="3" borderId="0" xfId="0" applyNumberFormat="1" applyFont="1" applyFill="1" applyAlignment="1">
      <alignment horizontal="right"/>
    </xf>
    <xf numFmtId="0" fontId="3" fillId="3" borderId="0" xfId="0" applyFont="1" applyFill="1" applyAlignment="1">
      <alignment horizontal="right"/>
    </xf>
    <xf numFmtId="40" fontId="3" fillId="10" borderId="13" xfId="0" applyNumberFormat="1" applyFont="1" applyFill="1" applyBorder="1" applyAlignment="1">
      <alignment horizontal="right"/>
    </xf>
    <xf numFmtId="164" fontId="3" fillId="0" borderId="0" xfId="0" applyNumberFormat="1" applyFont="1" applyAlignment="1">
      <alignment horizontal="center"/>
    </xf>
    <xf numFmtId="0" fontId="3" fillId="3" borderId="0" xfId="0" quotePrefix="1" applyFont="1" applyFill="1" applyAlignment="1">
      <alignment horizontal="right"/>
    </xf>
    <xf numFmtId="0" fontId="0" fillId="0" borderId="0" xfId="0" applyAlignment="1">
      <alignment wrapText="1"/>
    </xf>
    <xf numFmtId="0" fontId="3" fillId="0" borderId="0" xfId="0" applyFont="1" applyAlignment="1">
      <alignment horizontal="right" wrapText="1"/>
    </xf>
    <xf numFmtId="37" fontId="3" fillId="0" borderId="0" xfId="0" applyNumberFormat="1" applyFont="1" applyAlignment="1">
      <alignment horizontal="right"/>
    </xf>
    <xf numFmtId="0" fontId="0" fillId="0" borderId="0" xfId="0" applyAlignment="1">
      <alignment horizontal="justify" wrapText="1"/>
    </xf>
    <xf numFmtId="0" fontId="5" fillId="0" borderId="0" xfId="0" applyFont="1"/>
    <xf numFmtId="182" fontId="23" fillId="0" borderId="0" xfId="0" applyNumberFormat="1" applyFont="1" applyAlignment="1">
      <alignment horizontal="right"/>
    </xf>
    <xf numFmtId="37" fontId="5" fillId="0" borderId="0" xfId="0" applyNumberFormat="1" applyFont="1"/>
    <xf numFmtId="49" fontId="3" fillId="0" borderId="23" xfId="0" applyNumberFormat="1" applyFont="1" applyBorder="1" applyAlignment="1">
      <alignment horizontal="left"/>
    </xf>
    <xf numFmtId="0" fontId="3" fillId="0" borderId="23" xfId="0" applyFont="1" applyBorder="1" applyAlignment="1">
      <alignment horizontal="left"/>
    </xf>
    <xf numFmtId="0" fontId="3" fillId="0" borderId="23" xfId="0" applyFont="1" applyBorder="1"/>
    <xf numFmtId="0" fontId="80" fillId="0" borderId="23" xfId="0" applyFont="1" applyBorder="1"/>
    <xf numFmtId="0" fontId="8" fillId="0" borderId="23" xfId="0" applyFont="1" applyBorder="1" applyAlignment="1">
      <alignment horizontal="center"/>
    </xf>
    <xf numFmtId="0" fontId="5" fillId="0" borderId="26" xfId="0" applyFont="1" applyBorder="1"/>
    <xf numFmtId="0" fontId="5" fillId="0" borderId="18" xfId="0" applyFont="1" applyBorder="1"/>
    <xf numFmtId="49" fontId="5" fillId="0" borderId="50" xfId="0" applyNumberFormat="1" applyFont="1" applyBorder="1"/>
    <xf numFmtId="49" fontId="5" fillId="0" borderId="18" xfId="0" applyNumberFormat="1" applyFont="1" applyBorder="1" applyAlignment="1">
      <alignment horizontal="centerContinuous"/>
    </xf>
    <xf numFmtId="0" fontId="5" fillId="0" borderId="27" xfId="0" applyFont="1" applyBorder="1" applyAlignment="1">
      <alignment horizontal="centerContinuous"/>
    </xf>
    <xf numFmtId="0" fontId="5" fillId="0" borderId="27" xfId="0" applyFont="1" applyBorder="1" applyAlignment="1">
      <alignment horizontal="center" wrapText="1"/>
    </xf>
    <xf numFmtId="49" fontId="5" fillId="0" borderId="18" xfId="0" applyNumberFormat="1" applyFont="1" applyBorder="1" applyAlignment="1">
      <alignment horizontal="center"/>
    </xf>
    <xf numFmtId="0" fontId="5" fillId="0" borderId="27" xfId="0" applyFont="1" applyBorder="1" applyAlignment="1">
      <alignment horizontal="center"/>
    </xf>
    <xf numFmtId="0" fontId="63" fillId="0" borderId="27" xfId="0" applyFont="1" applyBorder="1" applyAlignment="1">
      <alignment horizontal="center"/>
    </xf>
    <xf numFmtId="0" fontId="14" fillId="0" borderId="2" xfId="0" applyFont="1" applyBorder="1"/>
    <xf numFmtId="0" fontId="14" fillId="0" borderId="0" xfId="0" applyFont="1"/>
    <xf numFmtId="0" fontId="14" fillId="0" borderId="28" xfId="0" applyFont="1" applyBorder="1"/>
    <xf numFmtId="49" fontId="5" fillId="0" borderId="25" xfId="0" applyNumberFormat="1" applyFont="1" applyBorder="1" applyAlignment="1">
      <alignment horizontal="center"/>
    </xf>
    <xf numFmtId="0" fontId="5" fillId="0" borderId="25" xfId="0" applyFont="1" applyBorder="1" applyAlignment="1">
      <alignment horizontal="center"/>
    </xf>
    <xf numFmtId="0" fontId="63" fillId="0" borderId="25" xfId="0" applyFont="1" applyBorder="1" applyAlignment="1">
      <alignment horizontal="center"/>
    </xf>
    <xf numFmtId="0" fontId="5" fillId="0" borderId="0" xfId="0" applyFont="1" applyAlignment="1">
      <alignment horizontal="center"/>
    </xf>
    <xf numFmtId="0" fontId="14" fillId="0" borderId="10" xfId="0" applyFont="1" applyBorder="1"/>
    <xf numFmtId="0" fontId="14" fillId="0" borderId="23" xfId="0" applyFont="1" applyBorder="1"/>
    <xf numFmtId="0" fontId="5" fillId="0" borderId="29" xfId="0" applyFont="1" applyBorder="1"/>
    <xf numFmtId="0" fontId="5" fillId="0" borderId="4" xfId="0" applyFont="1" applyBorder="1" applyAlignment="1">
      <alignment horizontal="center"/>
    </xf>
    <xf numFmtId="0" fontId="5" fillId="0" borderId="3" xfId="0" applyFont="1" applyBorder="1" applyAlignment="1">
      <alignment horizontal="center"/>
    </xf>
    <xf numFmtId="0" fontId="63" fillId="0" borderId="52" xfId="0" applyFont="1" applyBorder="1" applyAlignment="1">
      <alignment horizontal="center"/>
    </xf>
    <xf numFmtId="0" fontId="5" fillId="0" borderId="14" xfId="0" applyFont="1" applyBorder="1" applyAlignment="1">
      <alignment horizontal="center"/>
    </xf>
    <xf numFmtId="0" fontId="5" fillId="0" borderId="52" xfId="0" applyFont="1" applyBorder="1" applyAlignment="1">
      <alignment horizontal="center"/>
    </xf>
    <xf numFmtId="0" fontId="5" fillId="0" borderId="7" xfId="0" applyFont="1" applyBorder="1"/>
    <xf numFmtId="49" fontId="5" fillId="0" borderId="0" xfId="0" applyNumberFormat="1" applyFont="1" applyAlignment="1">
      <alignment horizontal="right"/>
    </xf>
    <xf numFmtId="37" fontId="5" fillId="0" borderId="9" xfId="0" applyNumberFormat="1" applyFont="1" applyBorder="1" applyAlignment="1">
      <alignment horizontal="right"/>
    </xf>
    <xf numFmtId="37" fontId="5" fillId="0" borderId="33" xfId="0" applyNumberFormat="1" applyFont="1" applyBorder="1" applyAlignment="1">
      <alignment horizontal="right"/>
    </xf>
    <xf numFmtId="37" fontId="63" fillId="0" borderId="13" xfId="0" applyNumberFormat="1" applyFont="1" applyBorder="1" applyAlignment="1">
      <alignment horizontal="right"/>
    </xf>
    <xf numFmtId="37" fontId="63" fillId="0" borderId="30" xfId="0" applyNumberFormat="1" applyFont="1" applyBorder="1" applyAlignment="1">
      <alignment horizontal="right"/>
    </xf>
    <xf numFmtId="165" fontId="63" fillId="0" borderId="74" xfId="0" applyNumberFormat="1" applyFont="1" applyBorder="1" applyAlignment="1">
      <alignment horizontal="right"/>
    </xf>
    <xf numFmtId="49" fontId="63" fillId="0" borderId="0" xfId="0" applyNumberFormat="1" applyFont="1" applyAlignment="1">
      <alignment horizontal="left"/>
    </xf>
    <xf numFmtId="49" fontId="63" fillId="0" borderId="2" xfId="0" applyNumberFormat="1" applyFont="1" applyBorder="1" applyAlignment="1">
      <alignment horizontal="left"/>
    </xf>
    <xf numFmtId="49" fontId="37" fillId="0" borderId="0" xfId="8" applyNumberFormat="1" applyFont="1" applyAlignment="1" applyProtection="1">
      <alignment horizontal="right"/>
    </xf>
    <xf numFmtId="49" fontId="5" fillId="0" borderId="0" xfId="0" applyNumberFormat="1" applyFont="1" applyAlignment="1">
      <alignment horizontal="left"/>
    </xf>
    <xf numFmtId="0" fontId="0" fillId="0" borderId="0" xfId="0" applyAlignment="1">
      <alignment horizontal="left"/>
    </xf>
    <xf numFmtId="37" fontId="5" fillId="0" borderId="13" xfId="0" applyNumberFormat="1" applyFont="1" applyBorder="1" applyAlignment="1">
      <alignment horizontal="right"/>
    </xf>
    <xf numFmtId="37" fontId="86" fillId="10" borderId="13" xfId="0" applyNumberFormat="1" applyFont="1" applyFill="1" applyBorder="1" applyAlignment="1">
      <alignment horizontal="right"/>
    </xf>
    <xf numFmtId="0" fontId="63" fillId="0" borderId="7" xfId="0" applyFont="1" applyBorder="1"/>
    <xf numFmtId="0" fontId="86" fillId="0" borderId="0" xfId="0" applyFont="1"/>
    <xf numFmtId="49" fontId="28" fillId="4" borderId="9" xfId="8" applyNumberFormat="1" applyFont="1" applyFill="1" applyBorder="1" applyAlignment="1" applyProtection="1">
      <alignment horizontal="right" vertical="top"/>
    </xf>
    <xf numFmtId="37" fontId="86" fillId="9" borderId="67" xfId="0" applyNumberFormat="1" applyFont="1" applyFill="1" applyBorder="1" applyAlignment="1">
      <alignment horizontal="right"/>
    </xf>
    <xf numFmtId="37" fontId="63" fillId="0" borderId="12" xfId="0" applyNumberFormat="1" applyFont="1" applyBorder="1" applyAlignment="1">
      <alignment horizontal="right"/>
    </xf>
    <xf numFmtId="165" fontId="63" fillId="3" borderId="74" xfId="0" applyNumberFormat="1" applyFont="1" applyFill="1" applyBorder="1" applyAlignment="1">
      <alignment horizontal="right"/>
    </xf>
    <xf numFmtId="49" fontId="77" fillId="0" borderId="0" xfId="0" applyNumberFormat="1" applyFont="1" applyAlignment="1">
      <alignment horizontal="left"/>
    </xf>
    <xf numFmtId="37" fontId="86" fillId="9" borderId="30" xfId="0" applyNumberFormat="1" applyFont="1" applyFill="1" applyBorder="1" applyAlignment="1">
      <alignment horizontal="right"/>
    </xf>
    <xf numFmtId="37" fontId="86" fillId="9" borderId="84" xfId="0" applyNumberFormat="1" applyFont="1" applyFill="1" applyBorder="1" applyAlignment="1">
      <alignment horizontal="right"/>
    </xf>
    <xf numFmtId="37" fontId="86" fillId="9" borderId="27" xfId="0" applyNumberFormat="1" applyFont="1" applyFill="1" applyBorder="1" applyAlignment="1">
      <alignment horizontal="right"/>
    </xf>
    <xf numFmtId="165" fontId="63" fillId="3" borderId="75" xfId="0" applyNumberFormat="1" applyFont="1" applyFill="1" applyBorder="1" applyAlignment="1">
      <alignment horizontal="right"/>
    </xf>
    <xf numFmtId="0" fontId="63" fillId="0" borderId="2" xfId="0" applyFont="1" applyBorder="1"/>
    <xf numFmtId="37" fontId="63" fillId="0" borderId="33" xfId="0" applyNumberFormat="1" applyFont="1" applyBorder="1" applyAlignment="1">
      <alignment horizontal="right"/>
    </xf>
    <xf numFmtId="165" fontId="63" fillId="0" borderId="33" xfId="0" applyNumberFormat="1" applyFont="1" applyBorder="1" applyAlignment="1">
      <alignment horizontal="right"/>
    </xf>
    <xf numFmtId="0" fontId="5" fillId="10" borderId="33" xfId="0" applyFont="1" applyFill="1" applyBorder="1"/>
    <xf numFmtId="0" fontId="63" fillId="3" borderId="10" xfId="0" applyFont="1" applyFill="1" applyBorder="1"/>
    <xf numFmtId="0" fontId="5" fillId="0" borderId="23" xfId="0" applyFont="1" applyBorder="1"/>
    <xf numFmtId="49" fontId="92" fillId="4" borderId="11" xfId="8" applyNumberFormat="1" applyFont="1" applyFill="1" applyBorder="1" applyAlignment="1" applyProtection="1">
      <alignment horizontal="right"/>
    </xf>
    <xf numFmtId="37" fontId="63" fillId="0" borderId="34" xfId="0" applyNumberFormat="1" applyFont="1" applyBorder="1" applyAlignment="1">
      <alignment horizontal="right"/>
    </xf>
    <xf numFmtId="37" fontId="63" fillId="0" borderId="17" xfId="0" applyNumberFormat="1" applyFont="1" applyBorder="1" applyAlignment="1">
      <alignment horizontal="right"/>
    </xf>
    <xf numFmtId="37" fontId="5" fillId="0" borderId="34" xfId="0" applyNumberFormat="1" applyFont="1" applyBorder="1" applyAlignment="1">
      <alignment horizontal="right"/>
    </xf>
    <xf numFmtId="0" fontId="14" fillId="0" borderId="0" xfId="0" applyFont="1" applyAlignment="1">
      <alignment vertical="top" wrapText="1"/>
    </xf>
    <xf numFmtId="0" fontId="14" fillId="0" borderId="0" xfId="0" applyFont="1" applyAlignment="1">
      <alignment horizontal="right" vertical="top"/>
    </xf>
    <xf numFmtId="37" fontId="7" fillId="0" borderId="0" xfId="0" applyNumberFormat="1" applyFont="1"/>
    <xf numFmtId="0" fontId="7" fillId="2" borderId="0" xfId="13" applyFont="1"/>
    <xf numFmtId="49" fontId="5" fillId="0" borderId="18" xfId="0" applyNumberFormat="1" applyFont="1" applyBorder="1" applyAlignment="1">
      <alignment horizontal="right" wrapText="1"/>
    </xf>
    <xf numFmtId="37" fontId="5" fillId="0" borderId="45" xfId="0" applyNumberFormat="1" applyFont="1" applyBorder="1" applyAlignment="1">
      <alignment horizontal="right"/>
    </xf>
    <xf numFmtId="37" fontId="7" fillId="0" borderId="0" xfId="0" applyNumberFormat="1" applyFont="1" applyAlignment="1">
      <alignment horizontal="right"/>
    </xf>
    <xf numFmtId="0" fontId="5" fillId="0" borderId="0" xfId="0" applyFont="1" applyBorder="1" applyAlignment="1">
      <alignment wrapText="1"/>
    </xf>
    <xf numFmtId="49" fontId="37" fillId="4" borderId="0" xfId="8" applyNumberFormat="1" applyFont="1" applyFill="1" applyBorder="1" applyAlignment="1" applyProtection="1">
      <alignment horizontal="right"/>
    </xf>
    <xf numFmtId="0" fontId="14" fillId="0" borderId="0" xfId="0" applyFont="1" applyAlignment="1">
      <alignment horizontal="left"/>
    </xf>
    <xf numFmtId="49" fontId="5" fillId="0" borderId="0" xfId="0" applyNumberFormat="1" applyFont="1" applyBorder="1" applyAlignment="1">
      <alignment horizontal="right" wrapText="1"/>
    </xf>
    <xf numFmtId="37" fontId="5" fillId="0" borderId="11" xfId="0" applyNumberFormat="1" applyFont="1" applyBorder="1" applyAlignment="1">
      <alignment horizontal="right"/>
    </xf>
    <xf numFmtId="0" fontId="87" fillId="0" borderId="0" xfId="0" applyFont="1"/>
    <xf numFmtId="0" fontId="88" fillId="0" borderId="0" xfId="0" applyFont="1"/>
    <xf numFmtId="0" fontId="88" fillId="0" borderId="0" xfId="0" applyFont="1" applyAlignment="1">
      <alignment horizontal="right"/>
    </xf>
    <xf numFmtId="37" fontId="88" fillId="0" borderId="0" xfId="0" applyNumberFormat="1" applyFont="1" applyAlignment="1">
      <alignment horizontal="right"/>
    </xf>
    <xf numFmtId="0" fontId="88" fillId="2" borderId="0" xfId="13" applyFont="1"/>
    <xf numFmtId="0" fontId="28" fillId="0" borderId="2" xfId="0" applyFont="1" applyBorder="1"/>
    <xf numFmtId="0" fontId="5" fillId="0" borderId="0" xfId="0" applyFont="1" applyBorder="1"/>
    <xf numFmtId="185" fontId="37" fillId="0" borderId="28" xfId="4" applyNumberFormat="1" applyFont="1" applyBorder="1" applyAlignment="1" applyProtection="1">
      <alignment horizontal="right"/>
    </xf>
    <xf numFmtId="49" fontId="5" fillId="0" borderId="23" xfId="0" applyNumberFormat="1" applyFont="1" applyBorder="1" applyAlignment="1">
      <alignment horizontal="right" wrapText="1"/>
    </xf>
    <xf numFmtId="168" fontId="5" fillId="0" borderId="71" xfId="4" applyNumberFormat="1" applyFont="1" applyBorder="1" applyAlignment="1" applyProtection="1">
      <alignment horizontal="right"/>
    </xf>
    <xf numFmtId="0" fontId="17" fillId="2" borderId="0" xfId="13"/>
    <xf numFmtId="0" fontId="5" fillId="0" borderId="0" xfId="0" quotePrefix="1" applyFont="1" applyAlignment="1">
      <alignment vertical="top"/>
    </xf>
    <xf numFmtId="0" fontId="7" fillId="0" borderId="0" xfId="13" quotePrefix="1" applyFont="1" applyFill="1" applyAlignment="1">
      <alignment horizontal="justify"/>
    </xf>
    <xf numFmtId="0" fontId="5" fillId="0" borderId="0" xfId="0" quotePrefix="1" applyFont="1"/>
    <xf numFmtId="0" fontId="2" fillId="0" borderId="0" xfId="0" applyFont="1" applyAlignment="1">
      <alignment wrapText="1"/>
    </xf>
    <xf numFmtId="0" fontId="0" fillId="0" borderId="0" xfId="0" applyBorder="1" applyAlignment="1">
      <alignment horizontal="left"/>
    </xf>
    <xf numFmtId="0" fontId="3" fillId="0" borderId="23" xfId="0" applyFont="1" applyBorder="1" applyAlignment="1">
      <alignment horizontal="center"/>
    </xf>
    <xf numFmtId="0" fontId="80" fillId="0" borderId="0" xfId="0" applyFont="1"/>
    <xf numFmtId="0" fontId="6" fillId="0" borderId="0" xfId="0" applyFont="1"/>
    <xf numFmtId="0" fontId="7" fillId="0" borderId="12" xfId="0" applyFont="1" applyBorder="1" applyAlignment="1">
      <alignment horizontal="center"/>
    </xf>
    <xf numFmtId="0" fontId="7" fillId="0" borderId="21" xfId="0" applyFont="1" applyBorder="1" applyAlignment="1">
      <alignment horizontal="center" wrapText="1"/>
    </xf>
    <xf numFmtId="0" fontId="7" fillId="0" borderId="94" xfId="0" applyFont="1" applyBorder="1" applyAlignment="1">
      <alignment horizontal="center"/>
    </xf>
    <xf numFmtId="0" fontId="7" fillId="0" borderId="8" xfId="0" applyFont="1" applyBorder="1" applyAlignment="1">
      <alignment horizontal="centerContinuous"/>
    </xf>
    <xf numFmtId="0" fontId="11" fillId="2" borderId="8" xfId="0" applyFont="1" applyFill="1" applyBorder="1" applyAlignment="1">
      <alignment horizontal="centerContinuous"/>
    </xf>
    <xf numFmtId="0" fontId="3" fillId="0" borderId="12" xfId="0" applyFont="1" applyBorder="1" applyAlignment="1">
      <alignment horizontal="center"/>
    </xf>
    <xf numFmtId="0" fontId="7" fillId="0" borderId="75" xfId="0" applyFont="1" applyBorder="1" applyAlignment="1">
      <alignment horizontal="center"/>
    </xf>
    <xf numFmtId="0" fontId="7" fillId="0" borderId="25" xfId="0" applyFont="1" applyBorder="1" applyAlignment="1">
      <alignment horizontal="center"/>
    </xf>
    <xf numFmtId="0" fontId="7" fillId="5" borderId="0" xfId="0" applyFont="1" applyFill="1" applyAlignment="1">
      <alignment horizontal="center"/>
    </xf>
    <xf numFmtId="0" fontId="7" fillId="0" borderId="17" xfId="0" applyFont="1" applyBorder="1" applyAlignment="1">
      <alignment horizontal="center" wrapText="1"/>
    </xf>
    <xf numFmtId="0" fontId="7" fillId="0" borderId="40" xfId="0" applyFont="1" applyBorder="1" applyAlignment="1">
      <alignment horizontal="center"/>
    </xf>
    <xf numFmtId="0" fontId="8" fillId="0" borderId="15" xfId="0" applyFont="1" applyBorder="1" applyAlignment="1">
      <alignment vertical="center"/>
    </xf>
    <xf numFmtId="0" fontId="8" fillId="0" borderId="8" xfId="0" applyFont="1" applyBorder="1"/>
    <xf numFmtId="49" fontId="7" fillId="0" borderId="14" xfId="0" quotePrefix="1" applyNumberFormat="1" applyFont="1" applyBorder="1" applyAlignment="1">
      <alignment horizontal="right"/>
    </xf>
    <xf numFmtId="37" fontId="7" fillId="0" borderId="13" xfId="0" applyNumberFormat="1" applyFont="1" applyBorder="1" applyAlignment="1">
      <alignment horizontal="right"/>
    </xf>
    <xf numFmtId="37" fontId="7" fillId="0" borderId="12" xfId="0" applyNumberFormat="1" applyFont="1" applyBorder="1" applyAlignment="1">
      <alignment horizontal="right"/>
    </xf>
    <xf numFmtId="165" fontId="7" fillId="0" borderId="13" xfId="0" applyNumberFormat="1" applyFont="1" applyBorder="1" applyAlignment="1">
      <alignment horizontal="right"/>
    </xf>
    <xf numFmtId="49" fontId="7" fillId="0" borderId="7" xfId="0" quotePrefix="1" applyNumberFormat="1" applyFont="1" applyBorder="1" applyAlignment="1">
      <alignment horizontal="left"/>
    </xf>
    <xf numFmtId="0" fontId="8" fillId="0" borderId="7" xfId="0" applyFont="1" applyBorder="1" applyAlignment="1">
      <alignment vertical="center"/>
    </xf>
    <xf numFmtId="49" fontId="7" fillId="0" borderId="0" xfId="0" applyNumberFormat="1" applyFont="1"/>
    <xf numFmtId="37" fontId="7" fillId="0" borderId="12" xfId="0" applyNumberFormat="1" applyFont="1" applyBorder="1"/>
    <xf numFmtId="37" fontId="7" fillId="2" borderId="21" xfId="0" applyNumberFormat="1" applyFont="1" applyFill="1" applyBorder="1"/>
    <xf numFmtId="49" fontId="7" fillId="0" borderId="7" xfId="0" applyNumberFormat="1" applyFont="1" applyBorder="1" applyAlignment="1">
      <alignment horizontal="left"/>
    </xf>
    <xf numFmtId="49" fontId="7" fillId="0" borderId="0" xfId="0" quotePrefix="1" applyNumberFormat="1" applyFont="1" applyAlignment="1">
      <alignment horizontal="right"/>
    </xf>
    <xf numFmtId="37" fontId="7" fillId="0" borderId="6" xfId="0" applyNumberFormat="1" applyFont="1" applyBorder="1"/>
    <xf numFmtId="37" fontId="7" fillId="0" borderId="21" xfId="0" applyNumberFormat="1" applyFont="1" applyBorder="1"/>
    <xf numFmtId="0" fontId="0" fillId="0" borderId="7" xfId="0" applyBorder="1" applyAlignment="1">
      <alignment horizontal="left"/>
    </xf>
    <xf numFmtId="37" fontId="7" fillId="0" borderId="17" xfId="0" applyNumberFormat="1" applyFont="1" applyBorder="1"/>
    <xf numFmtId="37" fontId="7" fillId="9" borderId="13" xfId="0" applyNumberFormat="1" applyFont="1" applyFill="1" applyBorder="1" applyAlignment="1">
      <alignment horizontal="right"/>
    </xf>
    <xf numFmtId="37" fontId="7" fillId="2" borderId="13" xfId="0" applyNumberFormat="1" applyFont="1" applyFill="1" applyBorder="1" applyAlignment="1">
      <alignment horizontal="right"/>
    </xf>
    <xf numFmtId="0" fontId="7" fillId="0" borderId="23" xfId="0" applyFont="1" applyBorder="1"/>
    <xf numFmtId="49" fontId="35" fillId="4" borderId="11" xfId="8" quotePrefix="1" applyNumberFormat="1" applyFont="1" applyFill="1" applyBorder="1" applyAlignment="1" applyProtection="1">
      <alignment horizontal="right"/>
    </xf>
    <xf numFmtId="37" fontId="7" fillId="0" borderId="39" xfId="0" applyNumberFormat="1" applyFont="1" applyBorder="1" applyAlignment="1">
      <alignment horizontal="right"/>
    </xf>
    <xf numFmtId="165" fontId="7" fillId="2" borderId="31" xfId="0" applyNumberFormat="1" applyFont="1" applyFill="1" applyBorder="1" applyAlignment="1">
      <alignment horizontal="right"/>
    </xf>
    <xf numFmtId="49" fontId="35" fillId="0" borderId="0" xfId="8" quotePrefix="1" applyNumberFormat="1" applyFont="1" applyAlignment="1" applyProtection="1">
      <alignment horizontal="right"/>
    </xf>
    <xf numFmtId="165" fontId="7" fillId="2" borderId="0" xfId="0" applyNumberFormat="1" applyFont="1" applyFill="1" applyAlignment="1">
      <alignment horizontal="right"/>
    </xf>
    <xf numFmtId="0" fontId="7" fillId="0" borderId="0" xfId="0" applyFont="1" applyAlignment="1">
      <alignment horizontal="left" vertical="top" wrapText="1"/>
    </xf>
    <xf numFmtId="0" fontId="7" fillId="0" borderId="0" xfId="0" applyFont="1" applyAlignment="1">
      <alignment vertical="top" wrapText="1"/>
    </xf>
    <xf numFmtId="0" fontId="0" fillId="0" borderId="0" xfId="0" applyAlignment="1">
      <alignment horizontal="left" vertical="center" wrapText="1"/>
    </xf>
    <xf numFmtId="1" fontId="7" fillId="0" borderId="0" xfId="2" applyNumberFormat="1" applyFont="1" applyProtection="1"/>
    <xf numFmtId="42" fontId="7" fillId="0" borderId="0" xfId="2" applyNumberFormat="1" applyFont="1" applyProtection="1"/>
    <xf numFmtId="37" fontId="7" fillId="0" borderId="22" xfId="2" applyNumberFormat="1" applyFont="1" applyBorder="1" applyProtection="1"/>
    <xf numFmtId="0" fontId="77" fillId="0" borderId="0" xfId="0" applyFont="1" applyAlignment="1">
      <alignment vertical="top" wrapText="1"/>
    </xf>
    <xf numFmtId="42" fontId="7" fillId="0" borderId="0" xfId="0" applyNumberFormat="1" applyFont="1" applyBorder="1" applyAlignment="1">
      <alignment vertical="top" wrapText="1"/>
    </xf>
    <xf numFmtId="49" fontId="7" fillId="0" borderId="0" xfId="0" applyNumberFormat="1" applyFont="1" applyAlignment="1">
      <alignment horizontal="left" vertical="top"/>
    </xf>
    <xf numFmtId="37" fontId="7" fillId="0" borderId="0" xfId="4" applyNumberFormat="1" applyFont="1" applyAlignment="1" applyProtection="1">
      <alignment horizontal="left" vertical="top"/>
    </xf>
    <xf numFmtId="0" fontId="7" fillId="0" borderId="0" xfId="0" applyFont="1" applyAlignment="1">
      <alignment horizontal="left" vertical="top"/>
    </xf>
    <xf numFmtId="0" fontId="0" fillId="0" borderId="0" xfId="0" applyAlignment="1">
      <alignment horizontal="left" vertical="top"/>
    </xf>
    <xf numFmtId="37" fontId="7" fillId="0" borderId="0" xfId="0" applyNumberFormat="1" applyFont="1" applyAlignment="1">
      <alignment horizontal="left"/>
    </xf>
    <xf numFmtId="0" fontId="14" fillId="0" borderId="0" xfId="11" applyFont="1" applyAlignment="1">
      <alignment horizontal="centerContinuous"/>
    </xf>
    <xf numFmtId="37" fontId="12" fillId="2" borderId="0" xfId="11" applyNumberFormat="1" applyFont="1" applyFill="1" applyAlignment="1">
      <alignment horizontal="centerContinuous"/>
    </xf>
    <xf numFmtId="177" fontId="14" fillId="2" borderId="0" xfId="11" applyNumberFormat="1" applyFont="1" applyFill="1"/>
    <xf numFmtId="0" fontId="35" fillId="0" borderId="0" xfId="8" applyFont="1" applyAlignment="1" applyProtection="1">
      <alignment horizontal="center"/>
    </xf>
    <xf numFmtId="37" fontId="5" fillId="0" borderId="6" xfId="11" applyNumberFormat="1" applyFont="1" applyBorder="1"/>
    <xf numFmtId="37" fontId="5" fillId="0" borderId="16" xfId="11" applyNumberFormat="1" applyFont="1" applyBorder="1"/>
    <xf numFmtId="37" fontId="5" fillId="0" borderId="1" xfId="11" applyNumberFormat="1" applyFont="1" applyBorder="1"/>
    <xf numFmtId="49" fontId="7" fillId="0" borderId="0" xfId="0" applyNumberFormat="1" applyFont="1" applyAlignment="1">
      <alignment horizontal="center"/>
    </xf>
    <xf numFmtId="37" fontId="14" fillId="0" borderId="7" xfId="11" applyNumberFormat="1" applyFont="1" applyBorder="1" applyAlignment="1">
      <alignment horizontal="left"/>
    </xf>
    <xf numFmtId="37" fontId="14" fillId="0" borderId="0" xfId="11" applyNumberFormat="1" applyFont="1" applyAlignment="1">
      <alignment horizontal="left"/>
    </xf>
    <xf numFmtId="37" fontId="14" fillId="0" borderId="9" xfId="11" applyNumberFormat="1" applyFont="1" applyBorder="1" applyAlignment="1">
      <alignment horizontal="left"/>
    </xf>
    <xf numFmtId="37" fontId="5" fillId="0" borderId="3" xfId="11" applyNumberFormat="1" applyFont="1" applyBorder="1"/>
    <xf numFmtId="37" fontId="5" fillId="0" borderId="14" xfId="11" applyNumberFormat="1" applyFont="1" applyBorder="1"/>
    <xf numFmtId="37" fontId="5" fillId="0" borderId="4" xfId="11" applyNumberFormat="1" applyFont="1" applyBorder="1"/>
    <xf numFmtId="0" fontId="5" fillId="0" borderId="17" xfId="11" applyFont="1" applyBorder="1" applyAlignment="1">
      <alignment horizontal="center"/>
    </xf>
    <xf numFmtId="0" fontId="5" fillId="0" borderId="49" xfId="0" applyFont="1" applyBorder="1" applyAlignment="1">
      <alignment horizontal="center"/>
    </xf>
    <xf numFmtId="0" fontId="5" fillId="0" borderId="33" xfId="0" applyFont="1" applyBorder="1" applyAlignment="1">
      <alignment horizontal="center"/>
    </xf>
    <xf numFmtId="37" fontId="14" fillId="0" borderId="15" xfId="11" applyNumberFormat="1" applyFont="1" applyBorder="1"/>
    <xf numFmtId="37" fontId="5" fillId="0" borderId="8" xfId="11" applyNumberFormat="1" applyFont="1" applyBorder="1"/>
    <xf numFmtId="37" fontId="5" fillId="0" borderId="1" xfId="11" applyNumberFormat="1" applyFont="1" applyBorder="1" applyAlignment="1">
      <alignment horizontal="right"/>
    </xf>
    <xf numFmtId="37" fontId="5" fillId="0" borderId="4" xfId="11" applyNumberFormat="1" applyFont="1" applyBorder="1" applyAlignment="1">
      <alignment horizontal="right"/>
    </xf>
    <xf numFmtId="37" fontId="5" fillId="0" borderId="17" xfId="11" applyNumberFormat="1" applyFont="1" applyBorder="1" applyAlignment="1">
      <alignment horizontal="right"/>
    </xf>
    <xf numFmtId="37" fontId="5" fillId="0" borderId="49" xfId="11" applyNumberFormat="1" applyFont="1" applyBorder="1"/>
    <xf numFmtId="177" fontId="5" fillId="2" borderId="0" xfId="11" applyNumberFormat="1" applyFont="1" applyFill="1"/>
    <xf numFmtId="37" fontId="43" fillId="4" borderId="6" xfId="8" applyNumberFormat="1" applyFont="1" applyFill="1" applyBorder="1" applyProtection="1"/>
    <xf numFmtId="37" fontId="5" fillId="0" borderId="5" xfId="11" applyNumberFormat="1" applyFont="1" applyBorder="1" applyAlignment="1">
      <alignment horizontal="right"/>
    </xf>
    <xf numFmtId="37" fontId="5" fillId="2" borderId="5" xfId="11" applyNumberFormat="1" applyFont="1" applyFill="1" applyBorder="1" applyAlignment="1">
      <alignment horizontal="right"/>
    </xf>
    <xf numFmtId="177" fontId="5" fillId="0" borderId="54" xfId="11" applyNumberFormat="1" applyFont="1" applyBorder="1"/>
    <xf numFmtId="0" fontId="5" fillId="0" borderId="50" xfId="0" applyFont="1" applyBorder="1"/>
    <xf numFmtId="37" fontId="5" fillId="0" borderId="7" xfId="11" applyNumberFormat="1" applyFont="1" applyBorder="1"/>
    <xf numFmtId="37" fontId="5" fillId="0" borderId="9" xfId="11" quotePrefix="1" applyNumberFormat="1" applyFont="1" applyBorder="1" applyAlignment="1">
      <alignment horizontal="right"/>
    </xf>
    <xf numFmtId="37" fontId="5" fillId="0" borderId="39" xfId="11" applyNumberFormat="1" applyFont="1" applyBorder="1" applyAlignment="1">
      <alignment horizontal="right"/>
    </xf>
    <xf numFmtId="0" fontId="5" fillId="0" borderId="7" xfId="11" quotePrefix="1" applyFont="1" applyBorder="1"/>
    <xf numFmtId="37" fontId="63" fillId="0" borderId="7" xfId="11" applyNumberFormat="1" applyFont="1" applyBorder="1"/>
    <xf numFmtId="37" fontId="5" fillId="0" borderId="0" xfId="11" applyNumberFormat="1" applyFont="1"/>
    <xf numFmtId="37" fontId="5" fillId="0" borderId="12" xfId="11" applyNumberFormat="1" applyFont="1" applyBorder="1" applyAlignment="1">
      <alignment horizontal="right"/>
    </xf>
    <xf numFmtId="37" fontId="5" fillId="0" borderId="0" xfId="11" quotePrefix="1" applyNumberFormat="1" applyFont="1" applyAlignment="1">
      <alignment horizontal="right"/>
    </xf>
    <xf numFmtId="37" fontId="5" fillId="0" borderId="14" xfId="11" applyNumberFormat="1" applyFont="1" applyBorder="1" applyAlignment="1">
      <alignment horizontal="right"/>
    </xf>
    <xf numFmtId="37" fontId="5" fillId="0" borderId="0" xfId="11" applyNumberFormat="1" applyFont="1" applyAlignment="1">
      <alignment horizontal="right"/>
    </xf>
    <xf numFmtId="37" fontId="5" fillId="0" borderId="51" xfId="11" applyNumberFormat="1" applyFont="1" applyBorder="1" applyAlignment="1">
      <alignment horizontal="right"/>
    </xf>
    <xf numFmtId="0" fontId="5" fillId="0" borderId="45" xfId="0" applyFont="1" applyBorder="1"/>
    <xf numFmtId="37" fontId="5" fillId="10" borderId="13" xfId="11" applyNumberFormat="1" applyFont="1" applyFill="1" applyBorder="1" applyAlignment="1">
      <alignment horizontal="right"/>
    </xf>
    <xf numFmtId="37" fontId="5" fillId="0" borderId="4" xfId="11" quotePrefix="1" applyNumberFormat="1" applyFont="1" applyBorder="1" applyAlignment="1">
      <alignment horizontal="right"/>
    </xf>
    <xf numFmtId="3" fontId="7" fillId="3" borderId="0" xfId="11" applyNumberFormat="1" applyFont="1" applyFill="1" applyAlignment="1">
      <alignment horizontal="right"/>
    </xf>
    <xf numFmtId="3" fontId="107" fillId="3" borderId="0" xfId="11" applyNumberFormat="1" applyFont="1" applyFill="1" applyAlignment="1">
      <alignment horizontal="right"/>
    </xf>
    <xf numFmtId="3" fontId="7" fillId="0" borderId="0" xfId="11" applyNumberFormat="1" applyFont="1" applyAlignment="1">
      <alignment horizontal="right"/>
    </xf>
    <xf numFmtId="3" fontId="107" fillId="0" borderId="0" xfId="11" applyNumberFormat="1" applyFont="1" applyAlignment="1">
      <alignment horizontal="right"/>
    </xf>
    <xf numFmtId="165" fontId="7" fillId="0" borderId="0" xfId="0" applyNumberFormat="1" applyFont="1" applyAlignment="1">
      <alignment horizontal="right"/>
    </xf>
    <xf numFmtId="3" fontId="9" fillId="0" borderId="0" xfId="0" applyNumberFormat="1" applyFont="1" applyAlignment="1">
      <alignment horizontal="left"/>
    </xf>
    <xf numFmtId="164" fontId="9" fillId="0" borderId="0" xfId="0" applyNumberFormat="1" applyFont="1" applyAlignment="1">
      <alignment horizontal="left"/>
    </xf>
    <xf numFmtId="0" fontId="11" fillId="0" borderId="0" xfId="0" applyFont="1" applyAlignment="1">
      <alignment horizontal="centerContinuous"/>
    </xf>
    <xf numFmtId="0" fontId="21" fillId="0" borderId="0" xfId="0" applyFont="1" applyAlignment="1">
      <alignment horizontal="centerContinuous"/>
    </xf>
    <xf numFmtId="0" fontId="11" fillId="0" borderId="6" xfId="0" applyFont="1" applyBorder="1"/>
    <xf numFmtId="0" fontId="11" fillId="0" borderId="6" xfId="0" applyFont="1" applyBorder="1" applyAlignment="1">
      <alignment horizontal="centerContinuous"/>
    </xf>
    <xf numFmtId="0" fontId="11" fillId="0" borderId="1" xfId="0" applyFont="1" applyBorder="1" applyAlignment="1">
      <alignment horizontal="centerContinuous"/>
    </xf>
    <xf numFmtId="164" fontId="11" fillId="0" borderId="0" xfId="0" applyNumberFormat="1" applyFont="1"/>
    <xf numFmtId="164" fontId="21" fillId="0" borderId="0" xfId="0" applyNumberFormat="1" applyFont="1" applyAlignment="1">
      <alignment horizontal="centerContinuous"/>
    </xf>
    <xf numFmtId="164" fontId="11" fillId="0" borderId="0" xfId="0" applyNumberFormat="1" applyFont="1" applyAlignment="1">
      <alignment horizontal="centerContinuous"/>
    </xf>
    <xf numFmtId="0" fontId="11" fillId="0" borderId="7" xfId="0" applyFont="1" applyBorder="1"/>
    <xf numFmtId="0" fontId="11" fillId="0" borderId="0" xfId="0" applyFont="1" applyAlignment="1">
      <alignment horizontal="center"/>
    </xf>
    <xf numFmtId="0" fontId="11" fillId="0" borderId="9" xfId="0" applyFont="1" applyBorder="1" applyAlignment="1">
      <alignment horizontal="center"/>
    </xf>
    <xf numFmtId="0" fontId="11" fillId="0" borderId="7" xfId="0" applyFont="1" applyBorder="1" applyAlignment="1">
      <alignment horizontal="centerContinuous"/>
    </xf>
    <xf numFmtId="0" fontId="11" fillId="0" borderId="9" xfId="0" applyFont="1" applyBorder="1" applyAlignment="1">
      <alignment horizontal="centerContinuous"/>
    </xf>
    <xf numFmtId="0" fontId="11" fillId="0" borderId="0" xfId="0" applyFont="1"/>
    <xf numFmtId="0" fontId="21" fillId="0" borderId="3" xfId="0" applyFont="1" applyBorder="1" applyAlignment="1">
      <alignment horizontal="centerContinuous"/>
    </xf>
    <xf numFmtId="0" fontId="11" fillId="0" borderId="4" xfId="0" applyFont="1" applyBorder="1" applyAlignment="1">
      <alignment horizontal="centerContinuous"/>
    </xf>
    <xf numFmtId="0" fontId="11" fillId="0" borderId="0" xfId="0" applyFont="1" applyAlignment="1">
      <alignment horizontal="right"/>
    </xf>
    <xf numFmtId="37" fontId="7" fillId="0" borderId="15" xfId="0" applyNumberFormat="1" applyFont="1" applyBorder="1" applyAlignment="1">
      <alignment horizontal="right"/>
    </xf>
    <xf numFmtId="37" fontId="7" fillId="0" borderId="13" xfId="0" applyNumberFormat="1" applyFont="1" applyBorder="1"/>
    <xf numFmtId="0" fontId="11" fillId="0" borderId="0" xfId="0" applyFont="1" applyAlignment="1">
      <alignment horizontal="left"/>
    </xf>
    <xf numFmtId="164" fontId="21" fillId="0" borderId="0" xfId="0" applyNumberFormat="1" applyFont="1"/>
    <xf numFmtId="0" fontId="21" fillId="0" borderId="0" xfId="0" applyFont="1"/>
    <xf numFmtId="4" fontId="11" fillId="0" borderId="15" xfId="0" applyNumberFormat="1" applyFont="1" applyBorder="1" applyAlignment="1">
      <alignment horizontal="center"/>
    </xf>
    <xf numFmtId="0" fontId="11" fillId="0" borderId="4" xfId="0" applyFont="1" applyBorder="1" applyAlignment="1">
      <alignment horizontal="center"/>
    </xf>
    <xf numFmtId="0" fontId="11" fillId="0" borderId="17" xfId="0" applyFont="1" applyBorder="1" applyAlignment="1">
      <alignment horizontal="center"/>
    </xf>
    <xf numFmtId="0" fontId="35" fillId="4" borderId="0" xfId="8" applyFont="1" applyFill="1" applyAlignment="1" applyProtection="1">
      <alignment horizontal="right"/>
    </xf>
    <xf numFmtId="4" fontId="11" fillId="0" borderId="15" xfId="0" applyNumberFormat="1" applyFont="1" applyBorder="1" applyAlignment="1">
      <alignment horizontal="right"/>
    </xf>
    <xf numFmtId="37" fontId="11" fillId="0" borderId="39" xfId="0" applyNumberFormat="1" applyFont="1" applyBorder="1"/>
    <xf numFmtId="0" fontId="35" fillId="4" borderId="0" xfId="8" quotePrefix="1" applyFont="1" applyFill="1" applyAlignment="1" applyProtection="1">
      <alignment horizontal="right"/>
    </xf>
    <xf numFmtId="0" fontId="7" fillId="0" borderId="0" xfId="0" applyFont="1" applyAlignment="1">
      <alignment vertical="center"/>
    </xf>
    <xf numFmtId="0" fontId="11" fillId="0" borderId="0" xfId="0" quotePrefix="1" applyFont="1" applyAlignment="1">
      <alignment horizontal="left"/>
    </xf>
    <xf numFmtId="0" fontId="11" fillId="0" borderId="0" xfId="0" quotePrefix="1" applyFont="1" applyAlignment="1">
      <alignment horizontal="right"/>
    </xf>
    <xf numFmtId="164" fontId="7" fillId="0" borderId="0" xfId="0" applyNumberFormat="1" applyFont="1" applyAlignment="1">
      <alignment horizontal="right"/>
    </xf>
    <xf numFmtId="0" fontId="7" fillId="0" borderId="0" xfId="0" quotePrefix="1" applyFont="1" applyAlignment="1">
      <alignment horizontal="left"/>
    </xf>
    <xf numFmtId="4" fontId="11" fillId="0" borderId="35" xfId="0" applyNumberFormat="1" applyFont="1" applyBorder="1" applyAlignment="1">
      <alignment horizontal="right"/>
    </xf>
    <xf numFmtId="37" fontId="11" fillId="0" borderId="82" xfId="0" applyNumberFormat="1" applyFont="1" applyBorder="1" applyAlignment="1">
      <alignment horizontal="right"/>
    </xf>
    <xf numFmtId="4" fontId="11" fillId="0" borderId="41" xfId="0" applyNumberFormat="1" applyFont="1" applyBorder="1"/>
    <xf numFmtId="4" fontId="11" fillId="0" borderId="42" xfId="0" applyNumberFormat="1" applyFont="1" applyBorder="1"/>
    <xf numFmtId="37" fontId="11" fillId="0" borderId="43" xfId="0" applyNumberFormat="1" applyFont="1" applyBorder="1"/>
    <xf numFmtId="4" fontId="11" fillId="0" borderId="3" xfId="0" applyNumberFormat="1" applyFont="1" applyBorder="1" applyAlignment="1">
      <alignment horizontal="right"/>
    </xf>
    <xf numFmtId="37" fontId="11" fillId="0" borderId="4" xfId="0" applyNumberFormat="1" applyFont="1" applyBorder="1"/>
    <xf numFmtId="0" fontId="65" fillId="0" borderId="0" xfId="0" applyFont="1" applyAlignment="1">
      <alignment horizontal="left"/>
    </xf>
    <xf numFmtId="49" fontId="65" fillId="0" borderId="0" xfId="0" applyNumberFormat="1" applyFont="1" applyAlignment="1">
      <alignment horizontal="right"/>
    </xf>
    <xf numFmtId="49" fontId="65" fillId="0" borderId="0" xfId="0" applyNumberFormat="1" applyFont="1" applyAlignment="1">
      <alignment horizontal="left"/>
    </xf>
    <xf numFmtId="0" fontId="11" fillId="3" borderId="0" xfId="0" applyFont="1" applyFill="1" applyAlignment="1">
      <alignment horizontal="left"/>
    </xf>
    <xf numFmtId="0" fontId="11" fillId="3" borderId="0" xfId="0" applyFont="1" applyFill="1"/>
    <xf numFmtId="49" fontId="65" fillId="0" borderId="0" xfId="0" quotePrefix="1" applyNumberFormat="1" applyFont="1" applyAlignment="1">
      <alignment horizontal="left"/>
    </xf>
    <xf numFmtId="49" fontId="35" fillId="4" borderId="0" xfId="8" quotePrefix="1" applyNumberFormat="1" applyFont="1" applyFill="1" applyAlignment="1" applyProtection="1">
      <alignment horizontal="right"/>
    </xf>
    <xf numFmtId="4" fontId="11" fillId="0" borderId="36" xfId="0" applyNumberFormat="1" applyFont="1" applyBorder="1" applyAlignment="1">
      <alignment horizontal="right"/>
    </xf>
    <xf numFmtId="37" fontId="11" fillId="0" borderId="37" xfId="0" applyNumberFormat="1" applyFont="1" applyBorder="1"/>
    <xf numFmtId="49" fontId="65" fillId="0" borderId="0" xfId="0" quotePrefix="1" applyNumberFormat="1" applyFont="1" applyAlignment="1">
      <alignment horizontal="right"/>
    </xf>
    <xf numFmtId="4" fontId="11" fillId="0" borderId="82" xfId="0" applyNumberFormat="1" applyFont="1" applyBorder="1" applyAlignment="1">
      <alignment horizontal="right"/>
    </xf>
    <xf numFmtId="37" fontId="11" fillId="0" borderId="24" xfId="0" applyNumberFormat="1" applyFont="1" applyBorder="1" applyAlignment="1">
      <alignment horizontal="right"/>
    </xf>
    <xf numFmtId="0" fontId="65" fillId="0" borderId="0" xfId="0" quotePrefix="1" applyFont="1" applyAlignment="1">
      <alignment horizontal="left"/>
    </xf>
    <xf numFmtId="37" fontId="11" fillId="0" borderId="0" xfId="0" applyNumberFormat="1" applyFont="1" applyAlignment="1">
      <alignment horizontal="right"/>
    </xf>
    <xf numFmtId="49" fontId="11" fillId="0" borderId="0" xfId="0" applyNumberFormat="1" applyFont="1" applyAlignment="1">
      <alignment horizontal="left"/>
    </xf>
    <xf numFmtId="42" fontId="7" fillId="0" borderId="0" xfId="0" applyNumberFormat="1" applyFont="1" applyAlignment="1">
      <alignment horizontal="right"/>
    </xf>
    <xf numFmtId="42" fontId="7" fillId="0" borderId="14" xfId="0" applyNumberFormat="1" applyFont="1" applyBorder="1" applyAlignment="1">
      <alignment horizontal="right"/>
    </xf>
    <xf numFmtId="0" fontId="35" fillId="0" borderId="0" xfId="8" applyFont="1" applyAlignment="1" applyProtection="1">
      <alignment horizontal="right"/>
    </xf>
    <xf numFmtId="37" fontId="21" fillId="2" borderId="0" xfId="13" applyNumberFormat="1" applyFont="1" applyAlignment="1">
      <alignment horizontal="left"/>
    </xf>
    <xf numFmtId="37" fontId="11" fillId="2" borderId="0" xfId="13" applyNumberFormat="1" applyFont="1"/>
    <xf numFmtId="0" fontId="9" fillId="0" borderId="0" xfId="0" applyFont="1" applyAlignment="1">
      <alignment horizontal="right"/>
    </xf>
    <xf numFmtId="37" fontId="21" fillId="2" borderId="0" xfId="13" applyNumberFormat="1" applyFont="1" applyAlignment="1">
      <alignment horizontal="center"/>
    </xf>
    <xf numFmtId="37" fontId="21" fillId="2" borderId="0" xfId="13" applyNumberFormat="1" applyFont="1" applyAlignment="1">
      <alignment horizontal="right"/>
    </xf>
    <xf numFmtId="37" fontId="11" fillId="2" borderId="14" xfId="13" applyNumberFormat="1" applyFont="1" applyBorder="1" applyAlignment="1">
      <alignment horizontal="center"/>
    </xf>
    <xf numFmtId="0" fontId="11" fillId="2" borderId="0" xfId="13" applyFont="1"/>
    <xf numFmtId="37" fontId="21" fillId="0" borderId="0" xfId="13" applyNumberFormat="1" applyFont="1" applyFill="1" applyAlignment="1">
      <alignment horizontal="right"/>
    </xf>
    <xf numFmtId="37" fontId="11" fillId="0" borderId="38" xfId="13" applyNumberFormat="1" applyFont="1" applyFill="1" applyBorder="1" applyAlignment="1">
      <alignment horizontal="center"/>
    </xf>
    <xf numFmtId="37" fontId="21" fillId="2" borderId="0" xfId="13" applyNumberFormat="1" applyFont="1" applyAlignment="1">
      <alignment horizontal="centerContinuous" vertical="top"/>
    </xf>
    <xf numFmtId="37" fontId="11" fillId="2" borderId="0" xfId="13" applyNumberFormat="1" applyFont="1" applyAlignment="1">
      <alignment horizontal="centerContinuous"/>
    </xf>
    <xf numFmtId="37" fontId="11" fillId="0" borderId="0" xfId="13" applyNumberFormat="1" applyFont="1" applyFill="1" applyAlignment="1">
      <alignment horizontal="centerContinuous"/>
    </xf>
    <xf numFmtId="0" fontId="7" fillId="2" borderId="0" xfId="13" applyFont="1" applyAlignment="1">
      <alignment horizontal="centerContinuous"/>
    </xf>
    <xf numFmtId="37" fontId="21" fillId="2" borderId="0" xfId="13" applyNumberFormat="1" applyFont="1" applyAlignment="1">
      <alignment vertical="top"/>
    </xf>
    <xf numFmtId="37" fontId="12" fillId="2" borderId="0" xfId="13" applyNumberFormat="1" applyFont="1" applyAlignment="1">
      <alignment horizontal="center"/>
    </xf>
    <xf numFmtId="0" fontId="12" fillId="2" borderId="0" xfId="13" applyFont="1" applyAlignment="1">
      <alignment horizontal="center"/>
    </xf>
    <xf numFmtId="37" fontId="21" fillId="2" borderId="0" xfId="13" applyNumberFormat="1" applyFont="1" applyAlignment="1">
      <alignment horizontal="centerContinuous"/>
    </xf>
    <xf numFmtId="37" fontId="22" fillId="2" borderId="0" xfId="13" applyNumberFormat="1" applyFont="1" applyAlignment="1">
      <alignment horizontal="center"/>
    </xf>
    <xf numFmtId="37" fontId="12" fillId="2" borderId="14" xfId="13" applyNumberFormat="1" applyFont="1" applyBorder="1" applyAlignment="1">
      <alignment horizontal="center"/>
    </xf>
    <xf numFmtId="0" fontId="12" fillId="2" borderId="14" xfId="13" applyFont="1" applyBorder="1" applyAlignment="1">
      <alignment horizontal="center"/>
    </xf>
    <xf numFmtId="37" fontId="7" fillId="0" borderId="0" xfId="13" applyNumberFormat="1" applyFont="1" applyFill="1" applyAlignment="1">
      <alignment horizontal="left"/>
    </xf>
    <xf numFmtId="0" fontId="17" fillId="0" borderId="0" xfId="13" applyFill="1"/>
    <xf numFmtId="37" fontId="65" fillId="0" borderId="0" xfId="13" applyNumberFormat="1" applyFont="1" applyFill="1" applyAlignment="1">
      <alignment horizontal="left"/>
    </xf>
    <xf numFmtId="37" fontId="11" fillId="0" borderId="0" xfId="13" applyNumberFormat="1" applyFont="1" applyFill="1"/>
    <xf numFmtId="8" fontId="11" fillId="2" borderId="0" xfId="13" applyNumberFormat="1" applyFont="1" applyAlignment="1">
      <alignment horizontal="right"/>
    </xf>
    <xf numFmtId="37" fontId="11" fillId="2" borderId="0" xfId="13" applyNumberFormat="1" applyFont="1" applyAlignment="1">
      <alignment horizontal="right"/>
    </xf>
    <xf numFmtId="37" fontId="11" fillId="2" borderId="14" xfId="13" applyNumberFormat="1" applyFont="1" applyBorder="1"/>
    <xf numFmtId="37" fontId="7" fillId="2" borderId="0" xfId="13" applyNumberFormat="1" applyFont="1"/>
    <xf numFmtId="37" fontId="7" fillId="2" borderId="14" xfId="13" applyNumberFormat="1" applyFont="1" applyBorder="1" applyAlignment="1">
      <alignment horizontal="right"/>
    </xf>
    <xf numFmtId="1" fontId="11" fillId="2" borderId="0" xfId="13" applyNumberFormat="1" applyFont="1" applyAlignment="1">
      <alignment horizontal="right"/>
    </xf>
    <xf numFmtId="37" fontId="35" fillId="0" borderId="0" xfId="8" applyNumberFormat="1" applyFont="1" applyAlignment="1" applyProtection="1">
      <alignment horizontal="left" vertical="top"/>
    </xf>
    <xf numFmtId="37" fontId="11" fillId="2" borderId="0" xfId="13" applyNumberFormat="1" applyFont="1" applyAlignment="1">
      <alignment horizontal="left"/>
    </xf>
    <xf numFmtId="37" fontId="11" fillId="2" borderId="16" xfId="13" applyNumberFormat="1" applyFont="1" applyBorder="1"/>
    <xf numFmtId="1" fontId="11" fillId="2" borderId="0" xfId="13" applyNumberFormat="1" applyFont="1" applyAlignment="1">
      <alignment horizontal="right" vertical="top"/>
    </xf>
    <xf numFmtId="1" fontId="11" fillId="2" borderId="0" xfId="13" applyNumberFormat="1" applyFont="1" applyAlignment="1">
      <alignment horizontal="left"/>
    </xf>
    <xf numFmtId="0" fontId="7" fillId="2" borderId="0" xfId="13" quotePrefix="1" applyFont="1"/>
    <xf numFmtId="49" fontId="35" fillId="4" borderId="0" xfId="8" applyNumberFormat="1" applyFont="1" applyFill="1" applyAlignment="1" applyProtection="1">
      <alignment horizontal="right" vertical="top"/>
    </xf>
    <xf numFmtId="37" fontId="35" fillId="4" borderId="0" xfId="8" applyNumberFormat="1" applyFont="1" applyFill="1" applyAlignment="1" applyProtection="1">
      <alignment horizontal="left" vertical="top"/>
    </xf>
    <xf numFmtId="0" fontId="7" fillId="0" borderId="0" xfId="13" applyFont="1" applyFill="1" applyAlignment="1">
      <alignment horizontal="left" vertical="top" wrapText="1"/>
    </xf>
    <xf numFmtId="0" fontId="65" fillId="0" borderId="0" xfId="13" applyFont="1" applyFill="1" applyAlignment="1">
      <alignment horizontal="left" vertical="top" wrapText="1"/>
    </xf>
    <xf numFmtId="0" fontId="35" fillId="0" borderId="0" xfId="0" applyFont="1"/>
    <xf numFmtId="37" fontId="11" fillId="0" borderId="16" xfId="13" applyNumberFormat="1" applyFont="1" applyFill="1" applyBorder="1"/>
    <xf numFmtId="37" fontId="35" fillId="4" borderId="0" xfId="8" applyNumberFormat="1" applyFont="1" applyFill="1" applyAlignment="1" applyProtection="1">
      <alignment horizontal="left"/>
    </xf>
    <xf numFmtId="37" fontId="11" fillId="0" borderId="14" xfId="13" applyNumberFormat="1" applyFont="1" applyFill="1" applyBorder="1"/>
    <xf numFmtId="37" fontId="11" fillId="2" borderId="23" xfId="13" applyNumberFormat="1" applyFont="1" applyBorder="1" applyAlignment="1">
      <alignment horizontal="right"/>
    </xf>
    <xf numFmtId="1" fontId="35" fillId="4" borderId="0" xfId="8" applyNumberFormat="1" applyFont="1" applyFill="1" applyAlignment="1" applyProtection="1">
      <alignment horizontal="right" vertical="top"/>
    </xf>
    <xf numFmtId="37" fontId="35" fillId="4" borderId="0" xfId="8" applyNumberFormat="1" applyFont="1" applyFill="1" applyProtection="1"/>
    <xf numFmtId="37" fontId="7" fillId="2" borderId="16" xfId="13" applyNumberFormat="1" applyFont="1" applyBorder="1"/>
    <xf numFmtId="1" fontId="35" fillId="4" borderId="0" xfId="8" applyNumberFormat="1" applyFont="1" applyFill="1" applyAlignment="1" applyProtection="1">
      <alignment horizontal="right"/>
    </xf>
    <xf numFmtId="37" fontId="11" fillId="2" borderId="0" xfId="13" applyNumberFormat="1" applyFont="1" applyAlignment="1">
      <alignment horizontal="left" vertical="top"/>
    </xf>
    <xf numFmtId="37" fontId="11" fillId="2" borderId="0" xfId="13" applyNumberFormat="1" applyFont="1" applyAlignment="1">
      <alignment vertical="top"/>
    </xf>
    <xf numFmtId="37" fontId="7" fillId="2" borderId="0" xfId="13" applyNumberFormat="1" applyFont="1" applyAlignment="1">
      <alignment vertical="top"/>
    </xf>
    <xf numFmtId="0" fontId="17" fillId="2" borderId="0" xfId="13" applyAlignment="1">
      <alignment vertical="top"/>
    </xf>
    <xf numFmtId="1" fontId="11" fillId="2" borderId="0" xfId="13" applyNumberFormat="1" applyFont="1"/>
    <xf numFmtId="37" fontId="65" fillId="0" borderId="0" xfId="13" applyNumberFormat="1" applyFont="1" applyFill="1"/>
    <xf numFmtId="37" fontId="11" fillId="0" borderId="0" xfId="13" applyNumberFormat="1" applyFont="1" applyFill="1" applyAlignment="1">
      <alignment horizontal="left"/>
    </xf>
    <xf numFmtId="0" fontId="9" fillId="0" borderId="0" xfId="13" applyFont="1" applyFill="1"/>
    <xf numFmtId="37" fontId="11" fillId="0" borderId="0" xfId="13" applyNumberFormat="1" applyFont="1" applyFill="1" applyAlignment="1">
      <alignment horizontal="left" vertical="top"/>
    </xf>
    <xf numFmtId="0" fontId="7" fillId="0" borderId="0" xfId="13" applyFont="1" applyFill="1" applyAlignment="1">
      <alignment wrapText="1"/>
    </xf>
    <xf numFmtId="37" fontId="11" fillId="0" borderId="0" xfId="13" applyNumberFormat="1" applyFont="1" applyFill="1" applyAlignment="1">
      <alignment horizontal="right"/>
    </xf>
    <xf numFmtId="37" fontId="7" fillId="2" borderId="18" xfId="13" applyNumberFormat="1" applyFont="1" applyBorder="1"/>
    <xf numFmtId="37" fontId="7" fillId="0" borderId="0" xfId="13" applyNumberFormat="1" applyFont="1" applyFill="1" applyAlignment="1">
      <alignment horizontal="left" vertical="top"/>
    </xf>
    <xf numFmtId="37" fontId="11" fillId="0" borderId="0" xfId="13" applyNumberFormat="1" applyFont="1" applyFill="1" applyAlignment="1">
      <alignment vertical="top"/>
    </xf>
    <xf numFmtId="37" fontId="11" fillId="0" borderId="0" xfId="13" applyNumberFormat="1" applyFont="1" applyFill="1" applyAlignment="1">
      <alignment horizontal="left" vertical="top" wrapText="1"/>
    </xf>
    <xf numFmtId="0" fontId="7" fillId="0" borderId="0" xfId="13" quotePrefix="1" applyFont="1" applyFill="1" applyAlignment="1">
      <alignment wrapText="1"/>
    </xf>
    <xf numFmtId="37" fontId="11" fillId="0" borderId="0" xfId="13" applyNumberFormat="1" applyFont="1" applyFill="1" applyAlignment="1">
      <alignment horizontal="left" wrapText="1"/>
    </xf>
    <xf numFmtId="37" fontId="65" fillId="0" borderId="0" xfId="13" applyNumberFormat="1" applyFont="1" applyFill="1" applyAlignment="1">
      <alignment horizontal="left" vertical="top"/>
    </xf>
    <xf numFmtId="1" fontId="11" fillId="0" borderId="0" xfId="13" applyNumberFormat="1" applyFont="1" applyFill="1" applyAlignment="1">
      <alignment horizontal="right" vertical="top"/>
    </xf>
    <xf numFmtId="37" fontId="7" fillId="0" borderId="0" xfId="13" applyNumberFormat="1" applyFont="1" applyFill="1"/>
    <xf numFmtId="1" fontId="11" fillId="0" borderId="0" xfId="13" applyNumberFormat="1" applyFont="1" applyFill="1" applyAlignment="1">
      <alignment horizontal="right"/>
    </xf>
    <xf numFmtId="49" fontId="35" fillId="4" borderId="0" xfId="8" quotePrefix="1" applyNumberFormat="1" applyFont="1" applyFill="1" applyAlignment="1" applyProtection="1">
      <alignment horizontal="right" vertical="top"/>
    </xf>
    <xf numFmtId="37" fontId="11" fillId="0" borderId="18" xfId="13" quotePrefix="1" applyNumberFormat="1" applyFont="1" applyFill="1" applyBorder="1"/>
    <xf numFmtId="49" fontId="35" fillId="0" borderId="0" xfId="8" quotePrefix="1" applyNumberFormat="1" applyFont="1" applyAlignment="1" applyProtection="1">
      <alignment horizontal="right" vertical="top"/>
    </xf>
    <xf numFmtId="0" fontId="7" fillId="0" borderId="0" xfId="21" applyFont="1" applyFill="1" applyAlignment="1">
      <alignment horizontal="left" vertical="top"/>
    </xf>
    <xf numFmtId="0" fontId="7" fillId="0" borderId="0" xfId="21" applyFont="1" applyFill="1" applyAlignment="1">
      <alignment vertical="top" wrapText="1"/>
    </xf>
    <xf numFmtId="37" fontId="11" fillId="0" borderId="0" xfId="13" quotePrefix="1" applyNumberFormat="1" applyFont="1" applyFill="1"/>
    <xf numFmtId="37" fontId="7" fillId="0" borderId="23" xfId="0" applyNumberFormat="1" applyFont="1" applyBorder="1"/>
    <xf numFmtId="0" fontId="7" fillId="0" borderId="0" xfId="21" quotePrefix="1" applyFont="1" applyFill="1" applyAlignment="1">
      <alignment horizontal="left" vertical="top" wrapText="1"/>
    </xf>
    <xf numFmtId="37" fontId="7" fillId="0" borderId="18" xfId="0" applyNumberFormat="1" applyFont="1" applyBorder="1"/>
    <xf numFmtId="0" fontId="65" fillId="0" borderId="0" xfId="0" applyFont="1" applyAlignment="1">
      <alignment vertical="top"/>
    </xf>
    <xf numFmtId="0" fontId="7" fillId="5" borderId="0" xfId="21" applyFont="1" applyFill="1" applyAlignment="1">
      <alignment horizontal="left" vertical="top"/>
    </xf>
    <xf numFmtId="49" fontId="11" fillId="0" borderId="0" xfId="13" quotePrefix="1" applyNumberFormat="1" applyFont="1" applyFill="1" applyAlignment="1">
      <alignment horizontal="right"/>
    </xf>
    <xf numFmtId="37" fontId="7" fillId="2" borderId="0" xfId="13" applyNumberFormat="1" applyFont="1" applyAlignment="1">
      <alignment horizontal="left"/>
    </xf>
    <xf numFmtId="0" fontId="9" fillId="0" borderId="0" xfId="13" applyFont="1" applyFill="1" applyAlignment="1">
      <alignment wrapText="1"/>
    </xf>
    <xf numFmtId="37" fontId="7" fillId="0" borderId="0" xfId="13" applyNumberFormat="1" applyFont="1" applyFill="1" applyAlignment="1">
      <alignment horizontal="right"/>
    </xf>
    <xf numFmtId="1" fontId="11" fillId="0" borderId="0" xfId="13" quotePrefix="1" applyNumberFormat="1" applyFont="1" applyFill="1" applyAlignment="1">
      <alignment horizontal="right"/>
    </xf>
    <xf numFmtId="0" fontId="24" fillId="0" borderId="0" xfId="0" applyFont="1" applyAlignment="1">
      <alignment wrapText="1"/>
    </xf>
    <xf numFmtId="1" fontId="11" fillId="2" borderId="0" xfId="13" quotePrefix="1" applyNumberFormat="1" applyFont="1" applyAlignment="1">
      <alignment horizontal="right" vertical="top"/>
    </xf>
    <xf numFmtId="37" fontId="2" fillId="0" borderId="0" xfId="0" applyNumberFormat="1" applyFont="1"/>
    <xf numFmtId="1" fontId="11" fillId="2" borderId="0" xfId="13" quotePrefix="1" applyNumberFormat="1" applyFont="1" applyAlignment="1">
      <alignment horizontal="right"/>
    </xf>
    <xf numFmtId="0" fontId="7" fillId="2" borderId="0" xfId="13" applyFont="1" applyAlignment="1">
      <alignment horizontal="right"/>
    </xf>
    <xf numFmtId="1" fontId="11" fillId="0" borderId="0" xfId="13" applyNumberFormat="1" applyFont="1" applyFill="1" applyAlignment="1">
      <alignment horizontal="left"/>
    </xf>
    <xf numFmtId="0" fontId="7" fillId="0" borderId="0" xfId="0" quotePrefix="1" applyFont="1" applyAlignment="1">
      <alignment wrapText="1"/>
    </xf>
    <xf numFmtId="49" fontId="7" fillId="2" borderId="0" xfId="13" quotePrefix="1" applyNumberFormat="1" applyFont="1" applyAlignment="1">
      <alignment horizontal="left"/>
    </xf>
    <xf numFmtId="0" fontId="9" fillId="0" borderId="0" xfId="13" applyFont="1" applyFill="1" applyAlignment="1">
      <alignment horizontal="right"/>
    </xf>
    <xf numFmtId="37" fontId="9" fillId="0" borderId="0" xfId="0" applyNumberFormat="1" applyFont="1" applyAlignment="1">
      <alignment horizontal="right"/>
    </xf>
    <xf numFmtId="1" fontId="11" fillId="0" borderId="0" xfId="13" quotePrefix="1" applyNumberFormat="1" applyFont="1" applyFill="1" applyAlignment="1">
      <alignment horizontal="left"/>
    </xf>
    <xf numFmtId="37" fontId="11" fillId="0" borderId="0" xfId="13" applyNumberFormat="1" applyFont="1" applyFill="1" applyAlignment="1">
      <alignment horizontal="justify" vertical="top" wrapText="1"/>
    </xf>
    <xf numFmtId="49" fontId="11" fillId="0" borderId="0" xfId="13" quotePrefix="1" applyNumberFormat="1" applyFont="1" applyFill="1" applyAlignment="1">
      <alignment horizontal="left" vertical="top"/>
    </xf>
    <xf numFmtId="1" fontId="11" fillId="0" borderId="0" xfId="13" quotePrefix="1" applyNumberFormat="1" applyFont="1" applyFill="1" applyAlignment="1">
      <alignment horizontal="left" vertical="top"/>
    </xf>
    <xf numFmtId="1" fontId="21" fillId="2" borderId="0" xfId="13" applyNumberFormat="1" applyFont="1"/>
    <xf numFmtId="49" fontId="7" fillId="3" borderId="0" xfId="13" applyNumberFormat="1" applyFont="1" applyFill="1" applyAlignment="1">
      <alignment horizontal="left" vertical="top"/>
    </xf>
    <xf numFmtId="37" fontId="11" fillId="0" borderId="0" xfId="13" applyNumberFormat="1" applyFont="1" applyFill="1" applyAlignment="1">
      <alignment vertical="top" wrapText="1"/>
    </xf>
    <xf numFmtId="37" fontId="11" fillId="0" borderId="0" xfId="13" quotePrefix="1" applyNumberFormat="1" applyFont="1" applyFill="1" applyAlignment="1">
      <alignment horizontal="left" vertical="top"/>
    </xf>
    <xf numFmtId="49" fontId="7" fillId="0" borderId="0" xfId="13" applyNumberFormat="1" applyFont="1" applyFill="1" applyAlignment="1">
      <alignment horizontal="left" vertical="top"/>
    </xf>
    <xf numFmtId="37" fontId="22" fillId="0" borderId="0" xfId="13" applyNumberFormat="1" applyFont="1" applyFill="1"/>
    <xf numFmtId="37" fontId="29" fillId="2" borderId="0" xfId="13" applyNumberFormat="1" applyFont="1" applyAlignment="1">
      <alignment horizontal="left"/>
    </xf>
    <xf numFmtId="37" fontId="23" fillId="2" borderId="0" xfId="13" applyNumberFormat="1" applyFont="1"/>
    <xf numFmtId="37" fontId="23" fillId="2" borderId="14" xfId="13" applyNumberFormat="1" applyFont="1" applyBorder="1" applyAlignment="1">
      <alignment horizontal="left"/>
    </xf>
    <xf numFmtId="37" fontId="29" fillId="2" borderId="0" xfId="13" applyNumberFormat="1" applyFont="1" applyAlignment="1">
      <alignment horizontal="center"/>
    </xf>
    <xf numFmtId="37" fontId="29" fillId="2" borderId="0" xfId="13" applyNumberFormat="1" applyFont="1" applyAlignment="1">
      <alignment horizontal="right"/>
    </xf>
    <xf numFmtId="37" fontId="23" fillId="2" borderId="14" xfId="13" applyNumberFormat="1" applyFont="1" applyBorder="1" applyAlignment="1">
      <alignment horizontal="center"/>
    </xf>
    <xf numFmtId="0" fontId="23" fillId="2" borderId="0" xfId="13" applyFont="1" applyAlignment="1">
      <alignment horizontal="left"/>
    </xf>
    <xf numFmtId="0" fontId="23" fillId="2" borderId="0" xfId="13" applyFont="1"/>
    <xf numFmtId="0" fontId="3" fillId="0" borderId="38" xfId="0" applyFont="1" applyBorder="1" applyAlignment="1">
      <alignment horizontal="center"/>
    </xf>
    <xf numFmtId="0" fontId="29" fillId="2" borderId="0" xfId="13" applyFont="1" applyAlignment="1">
      <alignment horizontal="centerContinuous"/>
    </xf>
    <xf numFmtId="0" fontId="23" fillId="2" borderId="0" xfId="13" applyFont="1" applyAlignment="1">
      <alignment horizontal="centerContinuous"/>
    </xf>
    <xf numFmtId="0" fontId="29" fillId="2" borderId="0" xfId="13" applyFont="1" applyAlignment="1">
      <alignment horizontal="centerContinuous" vertical="center"/>
    </xf>
    <xf numFmtId="0" fontId="29" fillId="2" borderId="0" xfId="13" applyFont="1" applyAlignment="1">
      <alignment horizontal="centerContinuous" vertical="top"/>
    </xf>
    <xf numFmtId="0" fontId="8" fillId="2" borderId="0" xfId="13" applyFont="1" applyAlignment="1">
      <alignment horizontal="centerContinuous" vertical="top"/>
    </xf>
    <xf numFmtId="0" fontId="8" fillId="0" borderId="0" xfId="0" applyFont="1" applyAlignment="1">
      <alignment horizontal="centerContinuous" vertical="top"/>
    </xf>
    <xf numFmtId="0" fontId="3" fillId="0" borderId="0" xfId="0" applyFont="1" applyAlignment="1">
      <alignment horizontal="centerContinuous" vertical="top"/>
    </xf>
    <xf numFmtId="0" fontId="90" fillId="2" borderId="0" xfId="13" applyFont="1" applyAlignment="1">
      <alignment horizontal="right"/>
    </xf>
    <xf numFmtId="49" fontId="23" fillId="2" borderId="0" xfId="13" applyNumberFormat="1" applyFont="1" applyAlignment="1">
      <alignment horizontal="right"/>
    </xf>
    <xf numFmtId="0" fontId="3" fillId="0" borderId="0" xfId="13" applyFont="1" applyFill="1"/>
    <xf numFmtId="49" fontId="10" fillId="4" borderId="0" xfId="8" applyNumberFormat="1" applyFont="1" applyFill="1" applyAlignment="1" applyProtection="1">
      <alignment horizontal="right"/>
    </xf>
    <xf numFmtId="0" fontId="3" fillId="2" borderId="0" xfId="13" applyFont="1"/>
    <xf numFmtId="37" fontId="3" fillId="0" borderId="18" xfId="0" applyNumberFormat="1" applyFont="1" applyBorder="1"/>
    <xf numFmtId="37" fontId="3" fillId="0" borderId="23" xfId="0" applyNumberFormat="1" applyFont="1" applyBorder="1"/>
    <xf numFmtId="37" fontId="3" fillId="0" borderId="22" xfId="0" applyNumberFormat="1" applyFont="1" applyBorder="1"/>
    <xf numFmtId="37" fontId="3" fillId="0" borderId="22" xfId="0" applyNumberFormat="1" applyFont="1" applyBorder="1" applyAlignment="1">
      <alignment horizontal="right"/>
    </xf>
    <xf numFmtId="49" fontId="10" fillId="4" borderId="0" xfId="8" quotePrefix="1" applyNumberFormat="1" applyFont="1" applyFill="1" applyAlignment="1" applyProtection="1">
      <alignment horizontal="right"/>
    </xf>
    <xf numFmtId="49" fontId="23" fillId="0" borderId="0" xfId="13" applyNumberFormat="1" applyFont="1" applyFill="1" applyAlignment="1">
      <alignment horizontal="left"/>
    </xf>
    <xf numFmtId="0" fontId="1" fillId="0" borderId="0" xfId="0" applyFont="1" applyAlignment="1">
      <alignment wrapText="1"/>
    </xf>
    <xf numFmtId="37" fontId="3" fillId="0" borderId="23" xfId="0" applyNumberFormat="1" applyFont="1" applyBorder="1" applyAlignment="1">
      <alignment wrapText="1"/>
    </xf>
    <xf numFmtId="49" fontId="29" fillId="2" borderId="0" xfId="13" applyNumberFormat="1" applyFont="1" applyAlignment="1">
      <alignment horizontal="right"/>
    </xf>
    <xf numFmtId="0" fontId="1" fillId="0" borderId="0" xfId="0" applyFont="1" applyAlignment="1">
      <alignment horizontal="right"/>
    </xf>
    <xf numFmtId="0" fontId="1" fillId="0" borderId="0" xfId="0" applyFont="1" applyAlignment="1">
      <alignment horizontal="justify"/>
    </xf>
    <xf numFmtId="49" fontId="10" fillId="0" borderId="0" xfId="8" quotePrefix="1" applyNumberFormat="1" applyFont="1" applyAlignment="1" applyProtection="1">
      <alignment horizontal="right"/>
    </xf>
    <xf numFmtId="0" fontId="3" fillId="0" borderId="0" xfId="13" applyFont="1" applyFill="1" applyAlignment="1">
      <alignment horizontal="left"/>
    </xf>
    <xf numFmtId="0" fontId="3" fillId="0" borderId="0" xfId="21" quotePrefix="1" applyFont="1" applyFill="1" applyAlignment="1">
      <alignment horizontal="right"/>
    </xf>
    <xf numFmtId="0" fontId="66" fillId="0" borderId="0" xfId="21" quotePrefix="1" applyFont="1" applyFill="1" applyAlignment="1">
      <alignment horizontal="right"/>
    </xf>
    <xf numFmtId="49" fontId="66" fillId="0" borderId="0" xfId="8" quotePrefix="1" applyNumberFormat="1" applyFont="1" applyAlignment="1" applyProtection="1">
      <alignment horizontal="right"/>
    </xf>
    <xf numFmtId="49" fontId="3" fillId="0" borderId="0" xfId="13" applyNumberFormat="1" applyFont="1" applyFill="1" applyAlignment="1">
      <alignment horizontal="right"/>
    </xf>
    <xf numFmtId="37" fontId="3" fillId="0" borderId="0" xfId="0" applyNumberFormat="1" applyFont="1"/>
    <xf numFmtId="0" fontId="23" fillId="0" borderId="0" xfId="13" applyFont="1" applyFill="1" applyAlignment="1">
      <alignment horizontal="right"/>
    </xf>
    <xf numFmtId="49" fontId="3" fillId="0" borderId="0" xfId="13" quotePrefix="1" applyNumberFormat="1" applyFont="1" applyFill="1" applyAlignment="1">
      <alignment horizontal="right"/>
    </xf>
    <xf numFmtId="49" fontId="3" fillId="0" borderId="0" xfId="13" quotePrefix="1" applyNumberFormat="1" applyFont="1" applyFill="1" applyAlignment="1">
      <alignment horizontal="left"/>
    </xf>
    <xf numFmtId="0" fontId="35" fillId="0" borderId="0" xfId="0" quotePrefix="1" applyFont="1"/>
    <xf numFmtId="37" fontId="3" fillId="0" borderId="46" xfId="0" applyNumberFormat="1" applyFont="1" applyBorder="1"/>
    <xf numFmtId="0" fontId="66" fillId="0" borderId="0" xfId="0" quotePrefix="1" applyFont="1" applyAlignment="1">
      <alignment vertical="top"/>
    </xf>
    <xf numFmtId="0" fontId="66" fillId="0" borderId="0" xfId="0" applyFont="1" applyAlignment="1">
      <alignment vertical="top"/>
    </xf>
    <xf numFmtId="49" fontId="89" fillId="0" borderId="0" xfId="13" applyNumberFormat="1" applyFont="1" applyFill="1" applyAlignment="1">
      <alignment horizontal="right"/>
    </xf>
    <xf numFmtId="0" fontId="89" fillId="0" borderId="0" xfId="0" quotePrefix="1" applyFont="1" applyAlignment="1">
      <alignment vertical="top"/>
    </xf>
    <xf numFmtId="0" fontId="89" fillId="0" borderId="0" xfId="0" applyFont="1" applyAlignment="1">
      <alignment vertical="top"/>
    </xf>
    <xf numFmtId="49" fontId="23" fillId="2" borderId="0" xfId="13" applyNumberFormat="1" applyFont="1" applyAlignment="1">
      <alignment horizontal="right" vertical="top"/>
    </xf>
    <xf numFmtId="0" fontId="3" fillId="0" borderId="0" xfId="0" applyFont="1" applyAlignment="1">
      <alignment vertical="top" wrapText="1"/>
    </xf>
    <xf numFmtId="49" fontId="23" fillId="0" borderId="0" xfId="13" applyNumberFormat="1" applyFont="1" applyFill="1" applyAlignment="1">
      <alignment horizontal="right" vertical="top"/>
    </xf>
    <xf numFmtId="0" fontId="3" fillId="0" borderId="0" xfId="13" applyFont="1" applyFill="1" applyAlignment="1">
      <alignment vertical="top"/>
    </xf>
    <xf numFmtId="0" fontId="0" fillId="0" borderId="0" xfId="0" applyAlignment="1">
      <alignment vertical="top"/>
    </xf>
    <xf numFmtId="0" fontId="4" fillId="0" borderId="0" xfId="0" applyFont="1" applyAlignment="1">
      <alignment horizontal="center"/>
    </xf>
    <xf numFmtId="0" fontId="15" fillId="0" borderId="0" xfId="0" applyFont="1"/>
    <xf numFmtId="0" fontId="2" fillId="0" borderId="6" xfId="0" applyFont="1" applyBorder="1"/>
    <xf numFmtId="0" fontId="2" fillId="0" borderId="16" xfId="0" applyFont="1" applyBorder="1"/>
    <xf numFmtId="0" fontId="7" fillId="0" borderId="6" xfId="0" applyFont="1" applyBorder="1" applyAlignment="1">
      <alignment horizontal="centerContinuous"/>
    </xf>
    <xf numFmtId="0" fontId="0" fillId="0" borderId="1" xfId="0" applyBorder="1" applyAlignment="1">
      <alignment horizontal="centerContinuous"/>
    </xf>
    <xf numFmtId="0" fontId="7" fillId="0" borderId="6" xfId="0" applyFont="1" applyBorder="1" applyAlignment="1">
      <alignment horizontal="center"/>
    </xf>
    <xf numFmtId="0" fontId="0" fillId="0" borderId="4" xfId="0" applyBorder="1" applyAlignment="1">
      <alignment horizontal="centerContinuous"/>
    </xf>
    <xf numFmtId="0" fontId="2" fillId="0" borderId="7" xfId="0" applyFont="1" applyBorder="1"/>
    <xf numFmtId="0" fontId="9" fillId="0" borderId="7" xfId="0" applyFont="1" applyBorder="1"/>
    <xf numFmtId="49" fontId="2" fillId="0" borderId="0" xfId="0" applyNumberFormat="1" applyFont="1"/>
    <xf numFmtId="49" fontId="2" fillId="0" borderId="0" xfId="0" applyNumberFormat="1" applyFont="1" applyAlignment="1">
      <alignment horizontal="left"/>
    </xf>
    <xf numFmtId="3" fontId="7" fillId="9" borderId="13" xfId="0" applyNumberFormat="1" applyFont="1" applyFill="1" applyBorder="1"/>
    <xf numFmtId="0" fontId="9" fillId="0" borderId="15" xfId="0" applyFont="1" applyBorder="1"/>
    <xf numFmtId="0" fontId="7" fillId="0" borderId="8" xfId="0" applyFont="1" applyBorder="1"/>
    <xf numFmtId="49" fontId="7" fillId="0" borderId="8" xfId="0" applyNumberFormat="1" applyFont="1" applyBorder="1" applyAlignment="1">
      <alignment horizontal="right"/>
    </xf>
    <xf numFmtId="3" fontId="7" fillId="9" borderId="13" xfId="0" applyNumberFormat="1" applyFont="1" applyFill="1" applyBorder="1" applyAlignment="1">
      <alignment horizontal="right"/>
    </xf>
    <xf numFmtId="49" fontId="2" fillId="0" borderId="1" xfId="0" applyNumberFormat="1" applyFont="1" applyBorder="1"/>
    <xf numFmtId="3" fontId="7" fillId="2" borderId="13" xfId="0" applyNumberFormat="1" applyFont="1" applyFill="1" applyBorder="1" applyAlignment="1">
      <alignment horizontal="right"/>
    </xf>
    <xf numFmtId="37" fontId="12" fillId="2" borderId="0" xfId="14" applyNumberFormat="1" applyFont="1" applyAlignment="1">
      <alignment horizontal="centerContinuous"/>
    </xf>
    <xf numFmtId="49" fontId="5" fillId="0" borderId="68" xfId="0" applyNumberFormat="1" applyFont="1" applyBorder="1" applyAlignment="1">
      <alignment horizontal="center"/>
    </xf>
    <xf numFmtId="37" fontId="20" fillId="2" borderId="0" xfId="14" applyNumberFormat="1" applyFont="1" applyAlignment="1">
      <alignment horizontal="centerContinuous"/>
    </xf>
    <xf numFmtId="0" fontId="75" fillId="0" borderId="0" xfId="0" applyFont="1"/>
    <xf numFmtId="0" fontId="19" fillId="2" borderId="0" xfId="14"/>
    <xf numFmtId="0" fontId="14" fillId="0" borderId="0" xfId="0" applyFont="1" applyAlignment="1">
      <alignment horizontal="right" wrapText="1"/>
    </xf>
    <xf numFmtId="0" fontId="5" fillId="0" borderId="38" xfId="0" applyFont="1" applyBorder="1" applyAlignment="1">
      <alignment horizontal="center" wrapText="1"/>
    </xf>
    <xf numFmtId="0" fontId="14" fillId="2" borderId="0" xfId="14" applyFont="1" applyAlignment="1">
      <alignment horizontal="left"/>
    </xf>
    <xf numFmtId="0" fontId="14" fillId="2" borderId="0" xfId="14" applyFont="1" applyAlignment="1">
      <alignment horizontal="center"/>
    </xf>
    <xf numFmtId="0" fontId="75" fillId="2" borderId="0" xfId="13" applyFont="1"/>
    <xf numFmtId="0" fontId="95" fillId="2" borderId="0" xfId="13" applyFont="1"/>
    <xf numFmtId="0" fontId="5" fillId="2" borderId="0" xfId="14" applyFont="1"/>
    <xf numFmtId="37" fontId="13" fillId="2" borderId="0" xfId="14" applyNumberFormat="1" applyFont="1"/>
    <xf numFmtId="0" fontId="84" fillId="2" borderId="0" xfId="13" applyFont="1" applyAlignment="1">
      <alignment wrapText="1"/>
    </xf>
    <xf numFmtId="37" fontId="12" fillId="2" borderId="0" xfId="14" applyNumberFormat="1" applyFont="1"/>
    <xf numFmtId="0" fontId="43" fillId="4" borderId="26" xfId="8" applyFont="1" applyFill="1" applyBorder="1" applyProtection="1"/>
    <xf numFmtId="0" fontId="19" fillId="0" borderId="18" xfId="14" applyFill="1" applyBorder="1"/>
    <xf numFmtId="37" fontId="12" fillId="0" borderId="18" xfId="14" applyNumberFormat="1" applyFont="1" applyFill="1" applyBorder="1" applyAlignment="1">
      <alignment horizontal="center" vertical="center"/>
    </xf>
    <xf numFmtId="37" fontId="12" fillId="0" borderId="50" xfId="14" applyNumberFormat="1" applyFont="1" applyFill="1" applyBorder="1" applyAlignment="1">
      <alignment horizontal="center" vertical="center"/>
    </xf>
    <xf numFmtId="37" fontId="12" fillId="0" borderId="26" xfId="14" applyNumberFormat="1" applyFont="1" applyFill="1" applyBorder="1" applyAlignment="1">
      <alignment horizontal="left"/>
    </xf>
    <xf numFmtId="0" fontId="7" fillId="0" borderId="18" xfId="0" applyFont="1" applyBorder="1" applyAlignment="1">
      <alignment horizontal="left"/>
    </xf>
    <xf numFmtId="0" fontId="7" fillId="0" borderId="18" xfId="0" applyFont="1" applyBorder="1"/>
    <xf numFmtId="0" fontId="7" fillId="0" borderId="50" xfId="0" applyFont="1" applyBorder="1"/>
    <xf numFmtId="37" fontId="12" fillId="2" borderId="2" xfId="14" applyNumberFormat="1" applyFont="1" applyBorder="1"/>
    <xf numFmtId="0" fontId="14" fillId="0" borderId="0" xfId="14" applyFont="1" applyFill="1" applyAlignment="1">
      <alignment horizontal="center" vertical="top"/>
    </xf>
    <xf numFmtId="0" fontId="14" fillId="0" borderId="28" xfId="14" applyFont="1" applyFill="1" applyBorder="1" applyAlignment="1">
      <alignment horizontal="center" vertical="top"/>
    </xf>
    <xf numFmtId="37" fontId="5" fillId="0" borderId="2" xfId="14" applyNumberFormat="1" applyFont="1" applyFill="1" applyBorder="1" applyAlignment="1">
      <alignment horizontal="left"/>
    </xf>
    <xf numFmtId="0" fontId="19" fillId="0" borderId="0" xfId="14" applyFill="1"/>
    <xf numFmtId="0" fontId="5" fillId="0" borderId="0" xfId="0" applyFont="1" applyAlignment="1">
      <alignment horizontal="right"/>
    </xf>
    <xf numFmtId="38" fontId="5" fillId="0" borderId="29" xfId="0" applyNumberFormat="1" applyFont="1" applyBorder="1"/>
    <xf numFmtId="172" fontId="13" fillId="0" borderId="30" xfId="14" applyNumberFormat="1" applyFont="1" applyFill="1" applyBorder="1"/>
    <xf numFmtId="0" fontId="5" fillId="2" borderId="21" xfId="14" applyFont="1" applyBorder="1"/>
    <xf numFmtId="176" fontId="7" fillId="0" borderId="0" xfId="0" applyNumberFormat="1" applyFont="1" applyBorder="1"/>
    <xf numFmtId="37" fontId="13" fillId="0" borderId="2" xfId="14" applyNumberFormat="1" applyFont="1" applyFill="1" applyBorder="1" applyAlignment="1">
      <alignment horizontal="left"/>
    </xf>
    <xf numFmtId="37" fontId="5" fillId="0" borderId="29" xfId="0" applyNumberFormat="1" applyFont="1" applyBorder="1"/>
    <xf numFmtId="37" fontId="12" fillId="2" borderId="26" xfId="14" applyNumberFormat="1" applyFont="1" applyBorder="1"/>
    <xf numFmtId="0" fontId="19" fillId="2" borderId="18" xfId="14" applyBorder="1"/>
    <xf numFmtId="37" fontId="12" fillId="0" borderId="18" xfId="14" applyNumberFormat="1" applyFont="1" applyFill="1" applyBorder="1" applyAlignment="1">
      <alignment horizontal="center"/>
    </xf>
    <xf numFmtId="37" fontId="12" fillId="0" borderId="50" xfId="14" applyNumberFormat="1" applyFont="1" applyFill="1" applyBorder="1" applyAlignment="1">
      <alignment horizontal="center"/>
    </xf>
    <xf numFmtId="9" fontId="5" fillId="0" borderId="29" xfId="1" applyFont="1" applyFill="1" applyBorder="1" applyProtection="1"/>
    <xf numFmtId="0" fontId="5" fillId="0" borderId="2" xfId="0" quotePrefix="1" applyFont="1" applyBorder="1" applyAlignment="1">
      <alignment horizontal="left"/>
    </xf>
    <xf numFmtId="0" fontId="19" fillId="2" borderId="28" xfId="14" applyBorder="1"/>
    <xf numFmtId="0" fontId="5" fillId="2" borderId="0" xfId="14" applyFont="1" applyAlignment="1">
      <alignment horizontal="left"/>
    </xf>
    <xf numFmtId="0" fontId="5" fillId="2" borderId="18" xfId="14" applyFont="1" applyBorder="1"/>
    <xf numFmtId="0" fontId="19" fillId="2" borderId="50" xfId="14" applyBorder="1"/>
    <xf numFmtId="0" fontId="14" fillId="2" borderId="2" xfId="14" applyFont="1" applyBorder="1"/>
    <xf numFmtId="0" fontId="14" fillId="2" borderId="29" xfId="13" applyFont="1" applyBorder="1" applyAlignment="1">
      <alignment horizontal="center"/>
    </xf>
    <xf numFmtId="37" fontId="13" fillId="2" borderId="12" xfId="14" applyNumberFormat="1" applyFont="1" applyBorder="1"/>
    <xf numFmtId="37" fontId="13" fillId="2" borderId="56" xfId="14" applyNumberFormat="1" applyFont="1" applyBorder="1"/>
    <xf numFmtId="37" fontId="63" fillId="2" borderId="33" xfId="15" applyNumberFormat="1" applyFont="1" applyBorder="1"/>
    <xf numFmtId="37" fontId="63" fillId="2" borderId="21" xfId="14" applyNumberFormat="1" applyFont="1" applyBorder="1"/>
    <xf numFmtId="37" fontId="12" fillId="2" borderId="10" xfId="14" applyNumberFormat="1" applyFont="1" applyBorder="1" applyAlignment="1">
      <alignment horizontal="left"/>
    </xf>
    <xf numFmtId="37" fontId="13" fillId="2" borderId="33" xfId="14" applyNumberFormat="1" applyFont="1" applyBorder="1"/>
    <xf numFmtId="37" fontId="27" fillId="2" borderId="0" xfId="14" applyNumberFormat="1" applyFont="1" applyAlignment="1">
      <alignment horizontal="left" vertical="center"/>
    </xf>
    <xf numFmtId="0" fontId="0" fillId="0" borderId="23" xfId="0" applyBorder="1" applyAlignment="1">
      <alignment horizontal="left" vertical="center" wrapText="1"/>
    </xf>
    <xf numFmtId="37" fontId="27" fillId="2" borderId="23" xfId="14" applyNumberFormat="1" applyFont="1" applyBorder="1" applyAlignment="1">
      <alignment horizontal="left" vertical="center"/>
    </xf>
    <xf numFmtId="0" fontId="0" fillId="0" borderId="23" xfId="0" applyBorder="1"/>
    <xf numFmtId="37" fontId="12" fillId="2" borderId="9" xfId="14" applyNumberFormat="1" applyFont="1" applyBorder="1"/>
    <xf numFmtId="37" fontId="12" fillId="2" borderId="6" xfId="14" applyNumberFormat="1" applyFont="1" applyBorder="1"/>
    <xf numFmtId="37" fontId="12" fillId="2" borderId="16" xfId="14" applyNumberFormat="1" applyFont="1" applyBorder="1"/>
    <xf numFmtId="0" fontId="5" fillId="2" borderId="26" xfId="13" applyFont="1" applyBorder="1"/>
    <xf numFmtId="37" fontId="12" fillId="2" borderId="50" xfId="14" applyNumberFormat="1" applyFont="1" applyBorder="1" applyAlignment="1">
      <alignment horizontal="centerContinuous"/>
    </xf>
    <xf numFmtId="37" fontId="12" fillId="2" borderId="16" xfId="14" applyNumberFormat="1" applyFont="1" applyBorder="1" applyAlignment="1">
      <alignment horizontal="centerContinuous"/>
    </xf>
    <xf numFmtId="37" fontId="12" fillId="2" borderId="1" xfId="14" applyNumberFormat="1" applyFont="1" applyBorder="1" applyAlignment="1">
      <alignment horizontal="centerContinuous"/>
    </xf>
    <xf numFmtId="37" fontId="12" fillId="2" borderId="12" xfId="14" applyNumberFormat="1" applyFont="1" applyBorder="1" applyAlignment="1">
      <alignment horizontal="center"/>
    </xf>
    <xf numFmtId="37" fontId="12" fillId="2" borderId="3" xfId="14" applyNumberFormat="1" applyFont="1" applyBorder="1" applyAlignment="1">
      <alignment horizontal="centerContinuous"/>
    </xf>
    <xf numFmtId="37" fontId="12" fillId="2" borderId="14" xfId="14" applyNumberFormat="1" applyFont="1" applyBorder="1" applyAlignment="1">
      <alignment horizontal="centerContinuous"/>
    </xf>
    <xf numFmtId="37" fontId="12" fillId="2" borderId="10" xfId="14" applyNumberFormat="1" applyFont="1" applyBorder="1" applyAlignment="1">
      <alignment horizontal="centerContinuous"/>
    </xf>
    <xf numFmtId="37" fontId="12" fillId="2" borderId="11" xfId="14" applyNumberFormat="1" applyFont="1" applyBorder="1" applyAlignment="1">
      <alignment horizontal="centerContinuous"/>
    </xf>
    <xf numFmtId="37" fontId="12" fillId="2" borderId="4" xfId="14" applyNumberFormat="1" applyFont="1" applyBorder="1" applyAlignment="1">
      <alignment horizontal="centerContinuous"/>
    </xf>
    <xf numFmtId="37" fontId="12" fillId="2" borderId="5" xfId="14" applyNumberFormat="1" applyFont="1" applyBorder="1" applyAlignment="1">
      <alignment horizontal="center"/>
    </xf>
    <xf numFmtId="37" fontId="12" fillId="2" borderId="17" xfId="14" applyNumberFormat="1" applyFont="1" applyBorder="1"/>
    <xf numFmtId="37" fontId="13" fillId="0" borderId="12" xfId="14" applyNumberFormat="1" applyFont="1" applyFill="1" applyBorder="1"/>
    <xf numFmtId="37" fontId="12" fillId="2" borderId="0" xfId="14" applyNumberFormat="1" applyFont="1" applyAlignment="1">
      <alignment horizontal="left"/>
    </xf>
    <xf numFmtId="0" fontId="14" fillId="0" borderId="2" xfId="13" applyFont="1" applyFill="1" applyBorder="1"/>
    <xf numFmtId="37" fontId="13" fillId="2" borderId="13" xfId="14" applyNumberFormat="1" applyFont="1" applyBorder="1"/>
    <xf numFmtId="37" fontId="13" fillId="2" borderId="17" xfId="14" applyNumberFormat="1" applyFont="1" applyBorder="1"/>
    <xf numFmtId="165" fontId="13" fillId="2" borderId="13" xfId="14" applyNumberFormat="1" applyFont="1" applyBorder="1" applyAlignment="1">
      <alignment horizontal="right"/>
    </xf>
    <xf numFmtId="37" fontId="12" fillId="0" borderId="0" xfId="14" applyNumberFormat="1" applyFont="1" applyFill="1"/>
    <xf numFmtId="37" fontId="12" fillId="0" borderId="0" xfId="14" applyNumberFormat="1" applyFont="1" applyFill="1" applyAlignment="1">
      <alignment horizontal="left"/>
    </xf>
    <xf numFmtId="37" fontId="13" fillId="0" borderId="17" xfId="14" applyNumberFormat="1" applyFont="1" applyFill="1" applyBorder="1"/>
    <xf numFmtId="37" fontId="13" fillId="0" borderId="13" xfId="14" applyNumberFormat="1" applyFont="1" applyFill="1" applyBorder="1"/>
    <xf numFmtId="0" fontId="14" fillId="2" borderId="2" xfId="13" applyFont="1" applyBorder="1" applyAlignment="1">
      <alignment horizontal="left"/>
    </xf>
    <xf numFmtId="37" fontId="5" fillId="2" borderId="13" xfId="14" applyNumberFormat="1" applyFont="1" applyBorder="1"/>
    <xf numFmtId="0" fontId="14" fillId="2" borderId="0" xfId="14" applyFont="1"/>
    <xf numFmtId="0" fontId="14" fillId="0" borderId="0" xfId="14" applyFont="1" applyFill="1"/>
    <xf numFmtId="37" fontId="5" fillId="0" borderId="13" xfId="14" applyNumberFormat="1" applyFont="1" applyFill="1" applyBorder="1"/>
    <xf numFmtId="165" fontId="13" fillId="0" borderId="13" xfId="14" applyNumberFormat="1" applyFont="1" applyFill="1" applyBorder="1" applyAlignment="1">
      <alignment horizontal="right"/>
    </xf>
    <xf numFmtId="37" fontId="5" fillId="0" borderId="17" xfId="14" applyNumberFormat="1" applyFont="1" applyFill="1" applyBorder="1"/>
    <xf numFmtId="165" fontId="13" fillId="0" borderId="17" xfId="14" applyNumberFormat="1" applyFont="1" applyFill="1" applyBorder="1" applyAlignment="1">
      <alignment horizontal="right"/>
    </xf>
    <xf numFmtId="0" fontId="5" fillId="2" borderId="19" xfId="14" applyFont="1" applyBorder="1"/>
    <xf numFmtId="0" fontId="14" fillId="2" borderId="0" xfId="14" applyFont="1" applyAlignment="1">
      <alignment horizontal="centerContinuous"/>
    </xf>
    <xf numFmtId="0" fontId="5" fillId="2" borderId="0" xfId="14" applyFont="1" applyAlignment="1">
      <alignment horizontal="centerContinuous"/>
    </xf>
    <xf numFmtId="37" fontId="13" fillId="2" borderId="0" xfId="14" applyNumberFormat="1" applyFont="1" applyAlignment="1">
      <alignment horizontal="right"/>
    </xf>
    <xf numFmtId="37" fontId="13" fillId="2" borderId="0" xfId="15" applyNumberFormat="1" applyFont="1" applyAlignment="1">
      <alignment horizontal="centerContinuous"/>
    </xf>
    <xf numFmtId="37" fontId="12" fillId="2" borderId="0" xfId="15" applyNumberFormat="1" applyFont="1" applyAlignment="1">
      <alignment horizontal="right"/>
    </xf>
    <xf numFmtId="0" fontId="19" fillId="2" borderId="0" xfId="15"/>
    <xf numFmtId="37" fontId="12" fillId="0" borderId="0" xfId="15" applyNumberFormat="1" applyFont="1" applyFill="1" applyAlignment="1">
      <alignment horizontal="right"/>
    </xf>
    <xf numFmtId="0" fontId="5" fillId="2" borderId="1" xfId="15" applyFont="1" applyBorder="1"/>
    <xf numFmtId="37" fontId="12" fillId="2" borderId="6" xfId="15" applyNumberFormat="1" applyFont="1" applyBorder="1" applyAlignment="1">
      <alignment horizontal="center"/>
    </xf>
    <xf numFmtId="37" fontId="12" fillId="2" borderId="64" xfId="15" applyNumberFormat="1" applyFont="1" applyBorder="1" applyAlignment="1">
      <alignment horizontal="center"/>
    </xf>
    <xf numFmtId="49" fontId="5" fillId="2" borderId="0" xfId="15" applyNumberFormat="1" applyFont="1" applyAlignment="1">
      <alignment horizontal="center"/>
    </xf>
    <xf numFmtId="37" fontId="12" fillId="2" borderId="7" xfId="15" applyNumberFormat="1" applyFont="1" applyBorder="1" applyAlignment="1">
      <alignment horizontal="center"/>
    </xf>
    <xf numFmtId="37" fontId="12" fillId="2" borderId="65" xfId="15" applyNumberFormat="1" applyFont="1" applyBorder="1" applyAlignment="1">
      <alignment horizontal="center"/>
    </xf>
    <xf numFmtId="0" fontId="14" fillId="0" borderId="27" xfId="0" applyFont="1" applyBorder="1"/>
    <xf numFmtId="0" fontId="14" fillId="0" borderId="45" xfId="0" applyFont="1" applyBorder="1" applyAlignment="1">
      <alignment horizontal="center"/>
    </xf>
    <xf numFmtId="0" fontId="14" fillId="0" borderId="33" xfId="0" applyFont="1" applyBorder="1" applyAlignment="1">
      <alignment horizontal="center"/>
    </xf>
    <xf numFmtId="37" fontId="12" fillId="2" borderId="3" xfId="15" applyNumberFormat="1" applyFont="1" applyBorder="1"/>
    <xf numFmtId="0" fontId="5" fillId="2" borderId="4" xfId="15" applyFont="1" applyBorder="1"/>
    <xf numFmtId="37" fontId="12" fillId="2" borderId="3" xfId="15" applyNumberFormat="1" applyFont="1" applyBorder="1" applyAlignment="1">
      <alignment horizontal="center"/>
    </xf>
    <xf numFmtId="37" fontId="12" fillId="2" borderId="17" xfId="15" applyNumberFormat="1" applyFont="1" applyBorder="1" applyAlignment="1">
      <alignment horizontal="center"/>
    </xf>
    <xf numFmtId="37" fontId="12" fillId="2" borderId="66" xfId="15" applyNumberFormat="1" applyFont="1" applyBorder="1" applyAlignment="1">
      <alignment horizontal="center"/>
    </xf>
    <xf numFmtId="0" fontId="5" fillId="0" borderId="25" xfId="0" applyFont="1" applyBorder="1"/>
    <xf numFmtId="3" fontId="5" fillId="2" borderId="45" xfId="15" applyNumberFormat="1" applyFont="1" applyBorder="1"/>
    <xf numFmtId="3" fontId="5" fillId="2" borderId="33" xfId="15" applyNumberFormat="1" applyFont="1" applyBorder="1"/>
    <xf numFmtId="0" fontId="5" fillId="0" borderId="0" xfId="15" applyFont="1" applyFill="1"/>
    <xf numFmtId="37" fontId="13" fillId="0" borderId="6" xfId="15" applyNumberFormat="1" applyFont="1" applyFill="1" applyBorder="1"/>
    <xf numFmtId="165" fontId="13" fillId="0" borderId="32" xfId="15" applyNumberFormat="1" applyFont="1" applyFill="1" applyBorder="1"/>
    <xf numFmtId="37" fontId="13" fillId="0" borderId="2" xfId="15" applyNumberFormat="1" applyFont="1" applyFill="1" applyBorder="1"/>
    <xf numFmtId="37" fontId="13" fillId="0" borderId="33" xfId="15" applyNumberFormat="1" applyFont="1" applyFill="1" applyBorder="1"/>
    <xf numFmtId="37" fontId="13" fillId="3" borderId="2" xfId="15" applyNumberFormat="1" applyFont="1" applyFill="1" applyBorder="1"/>
    <xf numFmtId="0" fontId="5" fillId="3" borderId="0" xfId="15" applyFont="1" applyFill="1"/>
    <xf numFmtId="37" fontId="13" fillId="2" borderId="85" xfId="15" applyNumberFormat="1" applyFont="1" applyBorder="1"/>
    <xf numFmtId="165" fontId="13" fillId="2" borderId="32" xfId="15" applyNumberFormat="1" applyFont="1" applyBorder="1"/>
    <xf numFmtId="0" fontId="67" fillId="0" borderId="28" xfId="15" applyFont="1" applyFill="1" applyBorder="1" applyAlignment="1">
      <alignment horizontal="center" vertical="center" wrapText="1"/>
    </xf>
    <xf numFmtId="0" fontId="5" fillId="0" borderId="2" xfId="0" applyFont="1" applyBorder="1"/>
    <xf numFmtId="0" fontId="5" fillId="0" borderId="28" xfId="0" applyFont="1" applyBorder="1"/>
    <xf numFmtId="0" fontId="63" fillId="0" borderId="25" xfId="0" applyFont="1" applyBorder="1"/>
    <xf numFmtId="37" fontId="13" fillId="2" borderId="5" xfId="15" applyNumberFormat="1" applyFont="1" applyBorder="1"/>
    <xf numFmtId="0" fontId="5" fillId="2" borderId="0" xfId="15" applyFont="1"/>
    <xf numFmtId="165" fontId="13" fillId="2" borderId="67" xfId="15" applyNumberFormat="1" applyFont="1" applyBorder="1"/>
    <xf numFmtId="0" fontId="5" fillId="0" borderId="25" xfId="0" applyFont="1" applyBorder="1" applyAlignment="1">
      <alignment horizontal="left"/>
    </xf>
    <xf numFmtId="38" fontId="13" fillId="2" borderId="5" xfId="15" applyNumberFormat="1" applyFont="1" applyBorder="1"/>
    <xf numFmtId="0" fontId="5" fillId="0" borderId="9" xfId="0" applyFont="1" applyBorder="1"/>
    <xf numFmtId="0" fontId="5" fillId="0" borderId="17" xfId="15" applyFont="1" applyFill="1" applyBorder="1"/>
    <xf numFmtId="165" fontId="13" fillId="0" borderId="67" xfId="15" applyNumberFormat="1" applyFont="1" applyFill="1" applyBorder="1"/>
    <xf numFmtId="37" fontId="12" fillId="2" borderId="0" xfId="15" applyNumberFormat="1" applyFont="1"/>
    <xf numFmtId="37" fontId="13" fillId="0" borderId="7" xfId="15" applyNumberFormat="1" applyFont="1" applyFill="1" applyBorder="1" applyAlignment="1">
      <alignment horizontal="left"/>
    </xf>
    <xf numFmtId="37" fontId="13" fillId="0" borderId="0" xfId="15" applyNumberFormat="1" applyFont="1" applyFill="1"/>
    <xf numFmtId="37" fontId="13" fillId="0" borderId="86" xfId="15" applyNumberFormat="1" applyFont="1" applyFill="1" applyBorder="1"/>
    <xf numFmtId="37" fontId="13" fillId="2" borderId="7" xfId="15" applyNumberFormat="1" applyFont="1" applyBorder="1"/>
    <xf numFmtId="37" fontId="13" fillId="2" borderId="0" xfId="15" applyNumberFormat="1" applyFont="1" applyAlignment="1">
      <alignment horizontal="left"/>
    </xf>
    <xf numFmtId="37" fontId="13" fillId="0" borderId="7" xfId="15" applyNumberFormat="1" applyFont="1" applyFill="1" applyBorder="1"/>
    <xf numFmtId="3" fontId="5" fillId="0" borderId="45" xfId="0" applyNumberFormat="1" applyFont="1" applyBorder="1"/>
    <xf numFmtId="3" fontId="5" fillId="0" borderId="33" xfId="0" applyNumberFormat="1" applyFont="1" applyBorder="1"/>
    <xf numFmtId="0" fontId="7" fillId="0" borderId="2" xfId="0" applyFont="1" applyBorder="1" applyAlignment="1">
      <alignment vertical="top" wrapText="1"/>
    </xf>
    <xf numFmtId="0" fontId="63" fillId="0" borderId="25" xfId="0" applyFont="1" applyBorder="1" applyAlignment="1">
      <alignment horizontal="left"/>
    </xf>
    <xf numFmtId="37" fontId="5" fillId="0" borderId="7" xfId="15" applyNumberFormat="1" applyFont="1" applyFill="1" applyBorder="1"/>
    <xf numFmtId="37" fontId="13" fillId="0" borderId="20" xfId="15" applyNumberFormat="1" applyFont="1" applyFill="1" applyBorder="1"/>
    <xf numFmtId="37" fontId="13" fillId="2" borderId="3" xfId="15" applyNumberFormat="1" applyFont="1" applyBorder="1" applyAlignment="1">
      <alignment horizontal="left"/>
    </xf>
    <xf numFmtId="37" fontId="13" fillId="2" borderId="14" xfId="15" applyNumberFormat="1" applyFont="1" applyBorder="1"/>
    <xf numFmtId="37" fontId="13" fillId="0" borderId="82" xfId="15" applyNumberFormat="1" applyFont="1" applyFill="1" applyBorder="1"/>
    <xf numFmtId="49" fontId="5" fillId="0" borderId="25" xfId="0" applyNumberFormat="1" applyFont="1" applyBorder="1" applyAlignment="1">
      <alignment horizontal="left"/>
    </xf>
    <xf numFmtId="37" fontId="12" fillId="0" borderId="17" xfId="15" applyNumberFormat="1" applyFont="1" applyFill="1" applyBorder="1" applyAlignment="1">
      <alignment horizontal="center" vertical="top" wrapText="1"/>
    </xf>
    <xf numFmtId="37" fontId="12" fillId="0" borderId="3" xfId="15" applyNumberFormat="1" applyFont="1" applyFill="1" applyBorder="1" applyAlignment="1">
      <alignment horizontal="center" wrapText="1"/>
    </xf>
    <xf numFmtId="37" fontId="12" fillId="0" borderId="3" xfId="15" applyNumberFormat="1" applyFont="1" applyFill="1" applyBorder="1" applyAlignment="1">
      <alignment horizontal="center"/>
    </xf>
    <xf numFmtId="37" fontId="13" fillId="2" borderId="6" xfId="15" applyNumberFormat="1" applyFont="1" applyBorder="1"/>
    <xf numFmtId="37" fontId="13" fillId="2" borderId="4" xfId="15" applyNumberFormat="1" applyFont="1" applyBorder="1"/>
    <xf numFmtId="0" fontId="5" fillId="0" borderId="52" xfId="0" applyFont="1" applyBorder="1" applyAlignment="1">
      <alignment horizontal="left"/>
    </xf>
    <xf numFmtId="3" fontId="5" fillId="2" borderId="22" xfId="15" applyNumberFormat="1" applyFont="1" applyBorder="1"/>
    <xf numFmtId="37" fontId="13" fillId="2" borderId="13" xfId="15" applyNumberFormat="1" applyFont="1" applyBorder="1" applyAlignment="1">
      <alignment horizontal="right"/>
    </xf>
    <xf numFmtId="37" fontId="13" fillId="2" borderId="15" xfId="15" applyNumberFormat="1" applyFont="1" applyBorder="1" applyAlignment="1">
      <alignment horizontal="center"/>
    </xf>
    <xf numFmtId="167" fontId="13" fillId="0" borderId="4" xfId="15" applyNumberFormat="1" applyFont="1" applyFill="1" applyBorder="1" applyAlignment="1">
      <alignment horizontal="right"/>
    </xf>
    <xf numFmtId="37" fontId="13" fillId="0" borderId="17" xfId="15" applyNumberFormat="1" applyFont="1" applyFill="1" applyBorder="1" applyAlignment="1">
      <alignment horizontal="right"/>
    </xf>
    <xf numFmtId="37" fontId="13" fillId="2" borderId="14" xfId="15" applyNumberFormat="1" applyFont="1" applyBorder="1" applyAlignment="1">
      <alignment horizontal="center"/>
    </xf>
    <xf numFmtId="37" fontId="13" fillId="2" borderId="7" xfId="15" applyNumberFormat="1" applyFont="1" applyBorder="1" applyAlignment="1">
      <alignment horizontal="center"/>
    </xf>
    <xf numFmtId="37" fontId="13" fillId="0" borderId="0" xfId="15" applyNumberFormat="1" applyFont="1" applyFill="1" applyAlignment="1">
      <alignment horizontal="right"/>
    </xf>
    <xf numFmtId="37" fontId="13" fillId="2" borderId="0" xfId="15" applyNumberFormat="1" applyFont="1" applyAlignment="1">
      <alignment horizontal="center"/>
    </xf>
    <xf numFmtId="37" fontId="13" fillId="2" borderId="8" xfId="15" applyNumberFormat="1" applyFont="1" applyBorder="1" applyAlignment="1">
      <alignment horizontal="center"/>
    </xf>
    <xf numFmtId="37" fontId="13" fillId="2" borderId="2" xfId="15" applyNumberFormat="1" applyFont="1" applyBorder="1"/>
    <xf numFmtId="0" fontId="5" fillId="2" borderId="0" xfId="15" applyFont="1" applyAlignment="1">
      <alignment horizontal="center"/>
    </xf>
    <xf numFmtId="37" fontId="13" fillId="2" borderId="2" xfId="15" applyNumberFormat="1" applyFont="1" applyBorder="1" applyAlignment="1">
      <alignment horizontal="center"/>
    </xf>
    <xf numFmtId="0" fontId="5" fillId="2" borderId="2" xfId="15" applyFont="1" applyBorder="1"/>
    <xf numFmtId="37" fontId="13" fillId="2" borderId="9" xfId="15" applyNumberFormat="1" applyFont="1" applyBorder="1" applyAlignment="1">
      <alignment horizontal="center"/>
    </xf>
    <xf numFmtId="49" fontId="13" fillId="2" borderId="0" xfId="15" applyNumberFormat="1" applyFont="1" applyAlignment="1">
      <alignment horizontal="centerContinuous"/>
    </xf>
    <xf numFmtId="167" fontId="13" fillId="2" borderId="0" xfId="15" applyNumberFormat="1" applyFont="1" applyAlignment="1">
      <alignment horizontal="right"/>
    </xf>
    <xf numFmtId="37" fontId="13" fillId="2" borderId="2" xfId="15" applyNumberFormat="1" applyFont="1" applyBorder="1" applyAlignment="1">
      <alignment horizontal="left"/>
    </xf>
    <xf numFmtId="0" fontId="5" fillId="2" borderId="0" xfId="15" applyFont="1" applyAlignment="1">
      <alignment horizontal="right"/>
    </xf>
    <xf numFmtId="0" fontId="5" fillId="2" borderId="9" xfId="15" applyFont="1" applyBorder="1" applyAlignment="1">
      <alignment horizontal="right"/>
    </xf>
    <xf numFmtId="0" fontId="5" fillId="2" borderId="4" xfId="15" applyFont="1" applyBorder="1" applyAlignment="1">
      <alignment horizontal="right"/>
    </xf>
    <xf numFmtId="0" fontId="5" fillId="2" borderId="58" xfId="15" applyFont="1" applyBorder="1" applyAlignment="1">
      <alignment horizontal="center"/>
    </xf>
    <xf numFmtId="37" fontId="13" fillId="2" borderId="10" xfId="15" applyNumberFormat="1" applyFont="1" applyBorder="1" applyAlignment="1">
      <alignment horizontal="left"/>
    </xf>
    <xf numFmtId="0" fontId="5" fillId="2" borderId="23" xfId="15" applyFont="1" applyBorder="1"/>
    <xf numFmtId="0" fontId="5" fillId="2" borderId="11" xfId="15" applyFont="1" applyBorder="1"/>
    <xf numFmtId="0" fontId="3" fillId="0" borderId="38" xfId="0" applyFont="1" applyBorder="1" applyAlignment="1">
      <alignment horizontal="centerContinuous"/>
    </xf>
    <xf numFmtId="0" fontId="9" fillId="0" borderId="0" xfId="0" applyFont="1" applyAlignment="1">
      <alignment horizontal="centerContinuous"/>
    </xf>
    <xf numFmtId="37" fontId="7" fillId="0" borderId="46" xfId="0" applyNumberFormat="1" applyFont="1" applyBorder="1" applyAlignment="1">
      <alignment vertical="center"/>
    </xf>
    <xf numFmtId="0" fontId="9" fillId="0" borderId="0" xfId="0" applyFont="1" applyAlignment="1">
      <alignment wrapText="1"/>
    </xf>
    <xf numFmtId="49" fontId="7" fillId="0" borderId="0" xfId="0" quotePrefix="1" applyNumberFormat="1" applyFont="1" applyAlignment="1">
      <alignment horizontal="right" vertical="top"/>
    </xf>
    <xf numFmtId="174" fontId="7" fillId="0" borderId="23" xfId="0" applyNumberFormat="1" applyFont="1" applyBorder="1"/>
    <xf numFmtId="0" fontId="9" fillId="0" borderId="0" xfId="0" applyFont="1" applyAlignment="1">
      <alignment vertical="center"/>
    </xf>
    <xf numFmtId="0" fontId="35" fillId="4" borderId="0" xfId="8" applyFont="1" applyFill="1" applyAlignment="1" applyProtection="1">
      <alignment vertical="top"/>
    </xf>
    <xf numFmtId="0" fontId="7" fillId="0" borderId="0" xfId="0" applyFont="1" applyAlignment="1">
      <alignment horizontal="right" wrapText="1"/>
    </xf>
    <xf numFmtId="37" fontId="7" fillId="0" borderId="23" xfId="4" applyNumberFormat="1" applyFont="1" applyBorder="1" applyProtection="1"/>
    <xf numFmtId="37" fontId="7" fillId="0" borderId="48" xfId="4" applyNumberFormat="1" applyFont="1" applyBorder="1" applyProtection="1"/>
    <xf numFmtId="175" fontId="7" fillId="0" borderId="0" xfId="0" applyNumberFormat="1" applyFont="1"/>
    <xf numFmtId="49" fontId="7" fillId="0" borderId="0" xfId="0" quotePrefix="1" applyNumberFormat="1" applyFont="1"/>
    <xf numFmtId="174" fontId="7" fillId="0" borderId="22" xfId="0" applyNumberFormat="1" applyFont="1" applyBorder="1"/>
    <xf numFmtId="0" fontId="7" fillId="0" borderId="0" xfId="0" quotePrefix="1" applyFont="1" applyAlignment="1">
      <alignment horizontal="right" vertical="top"/>
    </xf>
    <xf numFmtId="0" fontId="9" fillId="0" borderId="23" xfId="0" applyFont="1" applyBorder="1" applyAlignment="1">
      <alignment horizontal="center"/>
    </xf>
    <xf numFmtId="0" fontId="6" fillId="5" borderId="77" xfId="0" applyFont="1" applyFill="1" applyBorder="1"/>
    <xf numFmtId="0" fontId="7" fillId="5" borderId="87" xfId="0" applyFont="1" applyFill="1" applyBorder="1"/>
    <xf numFmtId="0" fontId="7" fillId="5" borderId="59" xfId="0" applyFont="1" applyFill="1" applyBorder="1"/>
    <xf numFmtId="0" fontId="7" fillId="5" borderId="88" xfId="0" applyFont="1" applyFill="1" applyBorder="1"/>
    <xf numFmtId="0" fontId="7" fillId="5" borderId="0" xfId="0" applyFont="1" applyFill="1" applyAlignment="1">
      <alignment vertical="center"/>
    </xf>
    <xf numFmtId="0" fontId="7" fillId="5" borderId="0" xfId="0" applyFont="1" applyFill="1"/>
    <xf numFmtId="39" fontId="7" fillId="5" borderId="0" xfId="0" applyNumberFormat="1" applyFont="1" applyFill="1" applyAlignment="1">
      <alignment horizontal="right"/>
    </xf>
    <xf numFmtId="43" fontId="7" fillId="5" borderId="57" xfId="4" applyFont="1" applyFill="1" applyBorder="1" applyProtection="1"/>
    <xf numFmtId="0" fontId="7" fillId="5" borderId="89" xfId="0" applyFont="1" applyFill="1" applyBorder="1"/>
    <xf numFmtId="39" fontId="7" fillId="5" borderId="0" xfId="0" applyNumberFormat="1" applyFont="1" applyFill="1"/>
    <xf numFmtId="0" fontId="65" fillId="5" borderId="0" xfId="0" applyFont="1" applyFill="1"/>
    <xf numFmtId="0" fontId="7" fillId="5" borderId="60" xfId="0" applyFont="1" applyFill="1" applyBorder="1"/>
    <xf numFmtId="39" fontId="7" fillId="5" borderId="57" xfId="0" applyNumberFormat="1" applyFont="1" applyFill="1" applyBorder="1"/>
    <xf numFmtId="174" fontId="7" fillId="5" borderId="57" xfId="0" applyNumberFormat="1" applyFont="1" applyFill="1" applyBorder="1"/>
    <xf numFmtId="0" fontId="7" fillId="5" borderId="62" xfId="0" applyFont="1" applyFill="1" applyBorder="1"/>
    <xf numFmtId="0" fontId="7" fillId="5" borderId="76" xfId="0" applyFont="1" applyFill="1" applyBorder="1"/>
    <xf numFmtId="0" fontId="7" fillId="5" borderId="61" xfId="0" applyFont="1" applyFill="1" applyBorder="1"/>
    <xf numFmtId="49" fontId="7" fillId="0" borderId="33" xfId="0" applyNumberFormat="1" applyFont="1" applyBorder="1" applyAlignment="1">
      <alignment horizontal="center"/>
    </xf>
    <xf numFmtId="49" fontId="7" fillId="0" borderId="58" xfId="0" applyNumberFormat="1" applyFont="1" applyBorder="1" applyAlignment="1">
      <alignment horizontal="center"/>
    </xf>
    <xf numFmtId="0" fontId="7" fillId="0" borderId="33" xfId="0" applyFont="1" applyBorder="1" applyAlignment="1">
      <alignment horizontal="center"/>
    </xf>
    <xf numFmtId="0" fontId="104" fillId="0" borderId="2" xfId="0" applyFont="1" applyBorder="1"/>
    <xf numFmtId="0" fontId="74" fillId="4" borderId="0" xfId="8" quotePrefix="1" applyFont="1" applyFill="1" applyProtection="1"/>
    <xf numFmtId="174" fontId="7" fillId="7" borderId="33" xfId="0" applyNumberFormat="1" applyFont="1" applyFill="1" applyBorder="1" applyAlignment="1">
      <alignment horizontal="center"/>
    </xf>
    <xf numFmtId="174" fontId="7" fillId="7" borderId="58" xfId="0" applyNumberFormat="1" applyFont="1" applyFill="1" applyBorder="1" applyAlignment="1">
      <alignment horizontal="center"/>
    </xf>
    <xf numFmtId="174" fontId="7" fillId="0" borderId="33" xfId="0" applyNumberFormat="1" applyFont="1" applyBorder="1" applyAlignment="1">
      <alignment horizontal="right"/>
    </xf>
    <xf numFmtId="174" fontId="7" fillId="0" borderId="33" xfId="0" applyNumberFormat="1" applyFont="1" applyBorder="1"/>
    <xf numFmtId="174" fontId="7" fillId="0" borderId="58" xfId="0" applyNumberFormat="1" applyFont="1" applyBorder="1"/>
    <xf numFmtId="0" fontId="72" fillId="2" borderId="0" xfId="17" applyFont="1"/>
    <xf numFmtId="0" fontId="73" fillId="0" borderId="0" xfId="0" quotePrefix="1" applyFont="1"/>
    <xf numFmtId="0" fontId="74" fillId="0" borderId="0" xfId="0" applyFont="1"/>
    <xf numFmtId="174" fontId="7" fillId="7" borderId="33" xfId="0" applyNumberFormat="1" applyFont="1" applyFill="1" applyBorder="1"/>
    <xf numFmtId="0" fontId="7" fillId="0" borderId="23" xfId="0" applyFont="1" applyBorder="1" applyAlignment="1">
      <alignment vertical="top" wrapText="1"/>
    </xf>
    <xf numFmtId="0" fontId="7" fillId="0" borderId="11" xfId="0" applyFont="1" applyBorder="1" applyAlignment="1">
      <alignment vertical="top" wrapText="1"/>
    </xf>
    <xf numFmtId="0" fontId="9" fillId="0" borderId="33" xfId="0" applyFont="1" applyBorder="1" applyAlignment="1">
      <alignment horizontal="center" wrapText="1"/>
    </xf>
    <xf numFmtId="0" fontId="7" fillId="0" borderId="58" xfId="0" applyFont="1" applyBorder="1" applyAlignment="1">
      <alignment vertical="top"/>
    </xf>
    <xf numFmtId="0" fontId="7" fillId="0" borderId="22" xfId="0" applyFont="1" applyBorder="1"/>
    <xf numFmtId="166" fontId="7" fillId="0" borderId="0" xfId="0" applyNumberFormat="1" applyFont="1" applyAlignment="1">
      <alignment horizontal="right" wrapText="1"/>
    </xf>
    <xf numFmtId="0" fontId="35" fillId="4" borderId="0" xfId="8" quotePrefix="1" applyFont="1" applyFill="1" applyProtection="1"/>
    <xf numFmtId="0" fontId="7" fillId="6" borderId="58" xfId="0" applyFont="1" applyFill="1" applyBorder="1" applyAlignment="1">
      <alignment vertical="top"/>
    </xf>
    <xf numFmtId="0" fontId="7" fillId="6" borderId="22" xfId="0" applyFont="1" applyFill="1" applyBorder="1"/>
    <xf numFmtId="166" fontId="7" fillId="0" borderId="0" xfId="0" applyNumberFormat="1" applyFont="1" applyAlignment="1">
      <alignment horizontal="right"/>
    </xf>
    <xf numFmtId="166" fontId="7" fillId="0" borderId="0" xfId="0" applyNumberFormat="1" applyFont="1"/>
    <xf numFmtId="0" fontId="61" fillId="0" borderId="0" xfId="0" applyFont="1"/>
    <xf numFmtId="0" fontId="7" fillId="14" borderId="22" xfId="0" applyFont="1" applyFill="1" applyBorder="1"/>
    <xf numFmtId="0" fontId="65" fillId="0" borderId="10" xfId="0" applyFont="1" applyBorder="1" applyAlignment="1">
      <alignment vertical="top"/>
    </xf>
    <xf numFmtId="0" fontId="65" fillId="0" borderId="23" xfId="0" applyFont="1" applyBorder="1"/>
    <xf numFmtId="0" fontId="65" fillId="14" borderId="10" xfId="0" applyFont="1" applyFill="1" applyBorder="1" applyAlignment="1">
      <alignment vertical="top"/>
    </xf>
    <xf numFmtId="0" fontId="65" fillId="14" borderId="23" xfId="0" applyFont="1" applyFill="1" applyBorder="1"/>
    <xf numFmtId="0" fontId="7" fillId="0" borderId="2" xfId="0" applyFont="1" applyBorder="1"/>
    <xf numFmtId="0" fontId="65" fillId="0" borderId="0" xfId="0" quotePrefix="1" applyFont="1"/>
    <xf numFmtId="0" fontId="65" fillId="0" borderId="10" xfId="0" applyFont="1" applyBorder="1"/>
    <xf numFmtId="174" fontId="65" fillId="0" borderId="33" xfId="0" applyNumberFormat="1" applyFont="1" applyBorder="1" applyAlignment="1">
      <alignment horizontal="right" vertical="top"/>
    </xf>
    <xf numFmtId="2" fontId="7" fillId="0" borderId="0" xfId="0" applyNumberFormat="1" applyFont="1" applyAlignment="1">
      <alignment horizontal="right"/>
    </xf>
    <xf numFmtId="2" fontId="7" fillId="0" borderId="0" xfId="0" applyNumberFormat="1" applyFont="1"/>
    <xf numFmtId="16" fontId="7" fillId="0" borderId="0" xfId="0" quotePrefix="1" applyNumberFormat="1" applyFont="1"/>
    <xf numFmtId="7" fontId="7" fillId="0" borderId="27" xfId="0" applyNumberFormat="1" applyFont="1" applyBorder="1"/>
    <xf numFmtId="0" fontId="7" fillId="6" borderId="58" xfId="0" applyFont="1" applyFill="1" applyBorder="1"/>
    <xf numFmtId="0" fontId="7" fillId="6" borderId="22" xfId="0" applyFont="1" applyFill="1" applyBorder="1" applyAlignment="1">
      <alignment horizontal="right"/>
    </xf>
    <xf numFmtId="0" fontId="7" fillId="0" borderId="58" xfId="0" applyFont="1" applyBorder="1"/>
    <xf numFmtId="0" fontId="7" fillId="0" borderId="22" xfId="0" applyFont="1" applyBorder="1" applyAlignment="1">
      <alignment horizontal="right"/>
    </xf>
    <xf numFmtId="7" fontId="7" fillId="0" borderId="33" xfId="0" applyNumberFormat="1" applyFont="1" applyBorder="1"/>
    <xf numFmtId="0" fontId="7" fillId="0" borderId="0" xfId="8" quotePrefix="1" applyFont="1" applyFill="1" applyAlignment="1" applyProtection="1">
      <alignment horizontal="left"/>
    </xf>
    <xf numFmtId="0" fontId="7" fillId="0" borderId="45" xfId="0" applyFont="1" applyBorder="1" applyAlignment="1">
      <alignment horizontal="right"/>
    </xf>
    <xf numFmtId="0" fontId="80" fillId="0" borderId="0" xfId="0" applyFont="1" applyAlignment="1">
      <alignment vertical="top"/>
    </xf>
    <xf numFmtId="0" fontId="7" fillId="0" borderId="22" xfId="0" applyFont="1" applyBorder="1" applyAlignment="1">
      <alignment vertical="top"/>
    </xf>
    <xf numFmtId="39" fontId="7" fillId="0" borderId="33" xfId="0" applyNumberFormat="1" applyFont="1" applyBorder="1"/>
    <xf numFmtId="0" fontId="7" fillId="6" borderId="22" xfId="0" applyFont="1" applyFill="1" applyBorder="1" applyAlignment="1">
      <alignment vertical="top"/>
    </xf>
    <xf numFmtId="0" fontId="6" fillId="0" borderId="0" xfId="0" applyFont="1" applyAlignment="1">
      <alignment vertical="top"/>
    </xf>
    <xf numFmtId="0" fontId="30" fillId="0" borderId="0" xfId="8" quotePrefix="1" applyFont="1" applyProtection="1"/>
    <xf numFmtId="0" fontId="30" fillId="4" borderId="0" xfId="8" applyFont="1" applyFill="1" applyProtection="1"/>
    <xf numFmtId="0" fontId="7" fillId="0" borderId="58" xfId="0" applyFont="1" applyBorder="1" applyAlignment="1">
      <alignment horizontal="left"/>
    </xf>
    <xf numFmtId="39" fontId="7" fillId="0" borderId="22" xfId="0" applyNumberFormat="1" applyFont="1" applyBorder="1"/>
    <xf numFmtId="39" fontId="7" fillId="0" borderId="0" xfId="0" applyNumberFormat="1" applyFont="1"/>
    <xf numFmtId="0" fontId="7" fillId="6" borderId="58" xfId="0" applyFont="1" applyFill="1" applyBorder="1" applyAlignment="1">
      <alignment horizontal="left"/>
    </xf>
    <xf numFmtId="39" fontId="7" fillId="6" borderId="22" xfId="0" applyNumberFormat="1" applyFont="1" applyFill="1" applyBorder="1"/>
    <xf numFmtId="0" fontId="7" fillId="6" borderId="45" xfId="0" applyFont="1" applyFill="1" applyBorder="1" applyAlignment="1">
      <alignment horizontal="right"/>
    </xf>
    <xf numFmtId="49" fontId="7" fillId="0" borderId="58" xfId="0" applyNumberFormat="1" applyFont="1" applyBorder="1" applyAlignment="1">
      <alignment horizontal="left"/>
    </xf>
    <xf numFmtId="0" fontId="7" fillId="0" borderId="22" xfId="0" applyFont="1" applyBorder="1" applyAlignment="1">
      <alignment horizontal="left"/>
    </xf>
    <xf numFmtId="0" fontId="30" fillId="0" borderId="0" xfId="8" quotePrefix="1" applyFont="1" applyFill="1" applyProtection="1"/>
    <xf numFmtId="0" fontId="9" fillId="0" borderId="0" xfId="0" applyFont="1" applyAlignment="1">
      <alignment vertical="top"/>
    </xf>
    <xf numFmtId="0" fontId="7" fillId="0" borderId="0" xfId="0" quotePrefix="1" applyFont="1" applyAlignment="1">
      <alignment vertical="top"/>
    </xf>
    <xf numFmtId="0" fontId="53" fillId="0" borderId="0" xfId="0" applyFont="1" applyBorder="1" applyAlignment="1">
      <alignment horizontal="left" vertical="center"/>
    </xf>
    <xf numFmtId="0" fontId="7" fillId="6" borderId="0" xfId="0" applyFont="1" applyFill="1" applyBorder="1"/>
    <xf numFmtId="0" fontId="7" fillId="6" borderId="0" xfId="0" applyFont="1" applyFill="1"/>
    <xf numFmtId="0" fontId="7" fillId="6" borderId="0" xfId="0" applyFont="1" applyFill="1" applyAlignment="1">
      <alignment horizontal="right"/>
    </xf>
    <xf numFmtId="0" fontId="30" fillId="4" borderId="0" xfId="8" applyFont="1" applyFill="1" applyAlignment="1" applyProtection="1">
      <alignment horizontal="right"/>
    </xf>
    <xf numFmtId="0" fontId="7" fillId="6" borderId="26" xfId="0" applyFont="1" applyFill="1" applyBorder="1"/>
    <xf numFmtId="0" fontId="7" fillId="6" borderId="18" xfId="0" applyFont="1" applyFill="1" applyBorder="1"/>
    <xf numFmtId="0" fontId="7" fillId="6" borderId="18" xfId="0" applyFont="1" applyFill="1" applyBorder="1" applyAlignment="1">
      <alignment horizontal="right"/>
    </xf>
    <xf numFmtId="0" fontId="9" fillId="0" borderId="0" xfId="0" quotePrefix="1" applyFont="1" applyAlignment="1">
      <alignment vertical="top"/>
    </xf>
    <xf numFmtId="0" fontId="7" fillId="0" borderId="22" xfId="0" applyFont="1" applyBorder="1" applyAlignment="1">
      <alignment horizontal="left" wrapText="1"/>
    </xf>
    <xf numFmtId="0" fontId="7" fillId="6" borderId="22" xfId="0" applyFont="1" applyFill="1" applyBorder="1" applyAlignment="1">
      <alignment horizontal="left" wrapText="1"/>
    </xf>
    <xf numFmtId="0" fontId="7" fillId="0" borderId="0" xfId="0" applyFont="1" applyAlignment="1">
      <alignment horizontal="right" vertical="top"/>
    </xf>
    <xf numFmtId="39" fontId="7" fillId="0" borderId="0" xfId="0" applyNumberFormat="1" applyFont="1" applyAlignment="1">
      <alignment vertical="top"/>
    </xf>
    <xf numFmtId="49" fontId="7" fillId="0" borderId="0" xfId="0" applyNumberFormat="1" applyFont="1" applyAlignment="1">
      <alignment horizontal="right" vertical="top"/>
    </xf>
    <xf numFmtId="0" fontId="7" fillId="6" borderId="22" xfId="0" applyFont="1" applyFill="1" applyBorder="1" applyAlignment="1">
      <alignment horizontal="left"/>
    </xf>
    <xf numFmtId="166" fontId="7" fillId="0" borderId="33" xfId="0" applyNumberFormat="1" applyFont="1" applyBorder="1"/>
    <xf numFmtId="0" fontId="7" fillId="0" borderId="0" xfId="0" quotePrefix="1" applyFont="1" applyAlignment="1">
      <alignment horizontal="left" vertical="top"/>
    </xf>
    <xf numFmtId="0" fontId="7" fillId="6" borderId="0" xfId="0" applyFont="1" applyFill="1" applyAlignment="1">
      <alignment horizontal="left" wrapText="1"/>
    </xf>
    <xf numFmtId="39" fontId="7" fillId="6" borderId="0" xfId="0" applyNumberFormat="1" applyFont="1" applyFill="1"/>
    <xf numFmtId="0" fontId="74" fillId="0" borderId="0" xfId="0" quotePrefix="1" applyFont="1"/>
    <xf numFmtId="49" fontId="9" fillId="0" borderId="23" xfId="0" applyNumberFormat="1" applyFont="1" applyBorder="1" applyAlignment="1">
      <alignment horizontal="center"/>
    </xf>
    <xf numFmtId="49" fontId="9" fillId="0" borderId="0" xfId="0" applyNumberFormat="1" applyFont="1" applyBorder="1" applyAlignment="1">
      <alignment horizontal="center"/>
    </xf>
    <xf numFmtId="0" fontId="52" fillId="0" borderId="0" xfId="0" applyFont="1"/>
    <xf numFmtId="49" fontId="9" fillId="0" borderId="23" xfId="0" applyNumberFormat="1" applyFont="1" applyBorder="1" applyAlignment="1">
      <alignment wrapText="1"/>
    </xf>
    <xf numFmtId="0" fontId="6" fillId="0" borderId="28" xfId="0" applyFont="1" applyBorder="1"/>
    <xf numFmtId="49" fontId="9" fillId="0" borderId="2" xfId="0" applyNumberFormat="1" applyFont="1" applyBorder="1" applyAlignment="1">
      <alignment wrapText="1"/>
    </xf>
    <xf numFmtId="0" fontId="7" fillId="0" borderId="11" xfId="0" applyFont="1" applyBorder="1"/>
    <xf numFmtId="49" fontId="9" fillId="0" borderId="10" xfId="0" applyNumberFormat="1" applyFont="1" applyBorder="1" applyAlignment="1">
      <alignment horizontal="center"/>
    </xf>
    <xf numFmtId="49" fontId="9" fillId="0" borderId="11" xfId="0" applyNumberFormat="1" applyFont="1" applyBorder="1" applyAlignment="1">
      <alignment horizontal="center"/>
    </xf>
    <xf numFmtId="49" fontId="9" fillId="0" borderId="2" xfId="0" applyNumberFormat="1" applyFont="1" applyBorder="1"/>
    <xf numFmtId="49" fontId="7" fillId="0" borderId="26" xfId="0" applyNumberFormat="1" applyFont="1" applyBorder="1"/>
    <xf numFmtId="49" fontId="7" fillId="0" borderId="50" xfId="0" applyNumberFormat="1" applyFont="1" applyBorder="1"/>
    <xf numFmtId="0" fontId="7" fillId="0" borderId="27" xfId="0" applyFont="1" applyBorder="1"/>
    <xf numFmtId="49" fontId="7" fillId="0" borderId="69" xfId="0" applyNumberFormat="1" applyFont="1" applyBorder="1"/>
    <xf numFmtId="49" fontId="7" fillId="0" borderId="76" xfId="0" applyNumberFormat="1" applyFont="1" applyBorder="1"/>
    <xf numFmtId="49" fontId="7" fillId="0" borderId="70" xfId="0" applyNumberFormat="1" applyFont="1" applyBorder="1"/>
    <xf numFmtId="178" fontId="7" fillId="0" borderId="90" xfId="0" applyNumberFormat="1" applyFont="1" applyBorder="1"/>
    <xf numFmtId="0" fontId="7" fillId="0" borderId="2" xfId="0" applyFont="1" applyBorder="1" applyAlignment="1">
      <alignment horizontal="right"/>
    </xf>
    <xf numFmtId="0" fontId="7" fillId="0" borderId="25" xfId="0" applyFont="1" applyBorder="1" applyAlignment="1">
      <alignment horizontal="right"/>
    </xf>
    <xf numFmtId="0" fontId="7" fillId="0" borderId="28" xfId="0" applyFont="1" applyBorder="1" applyAlignment="1">
      <alignment horizontal="right"/>
    </xf>
    <xf numFmtId="0" fontId="7" fillId="0" borderId="25" xfId="0" applyFont="1" applyBorder="1"/>
    <xf numFmtId="190" fontId="7" fillId="0" borderId="10" xfId="0" applyNumberFormat="1" applyFont="1" applyBorder="1" applyAlignment="1">
      <alignment horizontal="right"/>
    </xf>
    <xf numFmtId="190" fontId="7" fillId="0" borderId="52" xfId="0" applyNumberFormat="1" applyFont="1" applyBorder="1" applyAlignment="1">
      <alignment horizontal="right"/>
    </xf>
    <xf numFmtId="190" fontId="7" fillId="0" borderId="52" xfId="0" applyNumberFormat="1" applyFont="1" applyBorder="1"/>
    <xf numFmtId="169" fontId="7" fillId="0" borderId="0" xfId="0" applyNumberFormat="1" applyFont="1"/>
    <xf numFmtId="190" fontId="7" fillId="0" borderId="33" xfId="0" applyNumberFormat="1" applyFont="1" applyBorder="1" applyAlignment="1">
      <alignment horizontal="right"/>
    </xf>
    <xf numFmtId="190" fontId="7" fillId="0" borderId="33" xfId="0" applyNumberFormat="1" applyFont="1" applyBorder="1"/>
    <xf numFmtId="166" fontId="7" fillId="0" borderId="33" xfId="0" applyNumberFormat="1" applyFont="1" applyBorder="1" applyAlignment="1">
      <alignment horizontal="right"/>
    </xf>
    <xf numFmtId="166" fontId="7" fillId="0" borderId="52" xfId="0" applyNumberFormat="1" applyFont="1" applyBorder="1"/>
    <xf numFmtId="174" fontId="7" fillId="0" borderId="91" xfId="0" applyNumberFormat="1" applyFont="1" applyBorder="1" applyAlignment="1">
      <alignment horizontal="right"/>
    </xf>
    <xf numFmtId="174" fontId="7" fillId="0" borderId="90" xfId="0" applyNumberFormat="1" applyFont="1" applyBorder="1"/>
    <xf numFmtId="174" fontId="7" fillId="0" borderId="10" xfId="0" applyNumberFormat="1" applyFont="1" applyBorder="1" applyAlignment="1">
      <alignment horizontal="right"/>
    </xf>
    <xf numFmtId="174" fontId="7" fillId="0" borderId="52" xfId="0" applyNumberFormat="1" applyFont="1" applyBorder="1" applyAlignment="1">
      <alignment horizontal="right"/>
    </xf>
    <xf numFmtId="174" fontId="7" fillId="0" borderId="52" xfId="0" applyNumberFormat="1" applyFont="1" applyBorder="1"/>
    <xf numFmtId="0" fontId="7" fillId="7" borderId="63" xfId="0" applyFont="1" applyFill="1" applyBorder="1"/>
    <xf numFmtId="0" fontId="7" fillId="7" borderId="0" xfId="0" applyFont="1" applyFill="1"/>
    <xf numFmtId="0" fontId="7" fillId="0" borderId="69" xfId="0" applyFont="1" applyBorder="1"/>
    <xf numFmtId="0" fontId="7" fillId="0" borderId="76" xfId="0" applyFont="1" applyBorder="1"/>
    <xf numFmtId="0" fontId="7" fillId="7" borderId="69" xfId="0" applyFont="1" applyFill="1" applyBorder="1"/>
    <xf numFmtId="0" fontId="7" fillId="7" borderId="76" xfId="0" applyFont="1" applyFill="1" applyBorder="1"/>
    <xf numFmtId="169" fontId="7" fillId="0" borderId="90" xfId="0" applyNumberFormat="1" applyFont="1" applyBorder="1"/>
    <xf numFmtId="0" fontId="7" fillId="7" borderId="2" xfId="0" applyFont="1" applyFill="1" applyBorder="1"/>
    <xf numFmtId="178" fontId="7" fillId="0" borderId="0" xfId="0" applyNumberFormat="1" applyFont="1"/>
    <xf numFmtId="169" fontId="7" fillId="0" borderId="0" xfId="0" applyNumberFormat="1" applyFont="1" applyAlignment="1">
      <alignment horizontal="right"/>
    </xf>
    <xf numFmtId="0" fontId="7" fillId="0" borderId="58" xfId="0" applyFont="1" applyBorder="1" applyAlignment="1">
      <alignment horizontal="right"/>
    </xf>
    <xf numFmtId="39" fontId="7" fillId="0" borderId="45" xfId="0" applyNumberFormat="1" applyFont="1" applyBorder="1"/>
    <xf numFmtId="0" fontId="6" fillId="0" borderId="0" xfId="0" applyFont="1" applyAlignment="1">
      <alignment wrapText="1"/>
    </xf>
    <xf numFmtId="0" fontId="6" fillId="0" borderId="0" xfId="0" applyFont="1" applyAlignment="1">
      <alignment horizontal="left" wrapText="1"/>
    </xf>
    <xf numFmtId="0" fontId="7" fillId="0" borderId="92" xfId="0" applyFont="1" applyBorder="1" applyAlignment="1">
      <alignment horizontal="right"/>
    </xf>
    <xf numFmtId="39" fontId="7" fillId="0" borderId="93" xfId="0" applyNumberFormat="1" applyFont="1" applyBorder="1"/>
    <xf numFmtId="174" fontId="7" fillId="0" borderId="45" xfId="0" applyNumberFormat="1" applyFont="1" applyBorder="1"/>
    <xf numFmtId="0" fontId="7" fillId="0" borderId="10" xfId="0" applyFont="1" applyBorder="1"/>
    <xf numFmtId="174" fontId="7" fillId="0" borderId="11" xfId="0" applyNumberFormat="1" applyFont="1" applyBorder="1"/>
    <xf numFmtId="39" fontId="7" fillId="0" borderId="11" xfId="0" applyNumberFormat="1" applyFont="1" applyBorder="1"/>
    <xf numFmtId="0" fontId="30" fillId="11" borderId="0" xfId="8" quotePrefix="1" applyFont="1" applyFill="1" applyProtection="1"/>
    <xf numFmtId="0" fontId="30" fillId="11" borderId="0" xfId="8" applyFont="1" applyFill="1" applyAlignment="1" applyProtection="1">
      <alignment horizontal="right"/>
    </xf>
    <xf numFmtId="0" fontId="52" fillId="0" borderId="0" xfId="0" applyFont="1" applyAlignment="1">
      <alignment vertical="top"/>
    </xf>
    <xf numFmtId="0" fontId="7" fillId="2" borderId="0" xfId="20" applyFont="1" applyAlignment="1">
      <alignment horizontal="left"/>
    </xf>
    <xf numFmtId="0" fontId="30" fillId="11" borderId="0" xfId="8" quotePrefix="1" applyFont="1" applyFill="1" applyAlignment="1" applyProtection="1">
      <alignment vertical="top"/>
    </xf>
    <xf numFmtId="0" fontId="65" fillId="0" borderId="0" xfId="8" applyFont="1" applyProtection="1"/>
    <xf numFmtId="0" fontId="35" fillId="0" borderId="0" xfId="8" applyFont="1" applyProtection="1"/>
    <xf numFmtId="189" fontId="7" fillId="0" borderId="33" xfId="0" applyNumberFormat="1" applyFont="1" applyBorder="1"/>
    <xf numFmtId="44" fontId="7" fillId="0" borderId="33" xfId="0" applyNumberFormat="1" applyFont="1" applyBorder="1"/>
    <xf numFmtId="0" fontId="11" fillId="0" borderId="0" xfId="16" applyFont="1" applyFill="1" applyAlignment="1">
      <alignment horizontal="left" vertical="top"/>
    </xf>
    <xf numFmtId="0" fontId="11" fillId="0" borderId="0" xfId="19" applyFont="1" applyFill="1" applyAlignment="1">
      <alignment horizontal="left" vertical="center"/>
    </xf>
    <xf numFmtId="0" fontId="7" fillId="0" borderId="0" xfId="19" applyFont="1" applyFill="1" applyAlignment="1">
      <alignment horizontal="left" vertical="center"/>
    </xf>
    <xf numFmtId="0" fontId="14" fillId="0" borderId="0" xfId="0" applyFont="1" applyAlignment="1">
      <alignment horizontal="right"/>
    </xf>
    <xf numFmtId="49" fontId="6" fillId="0" borderId="0" xfId="0" applyNumberFormat="1" applyFont="1"/>
    <xf numFmtId="0" fontId="2" fillId="0" borderId="76" xfId="0" applyFont="1" applyBorder="1"/>
    <xf numFmtId="0" fontId="5" fillId="0" borderId="76" xfId="0" applyFont="1" applyBorder="1" applyAlignment="1">
      <alignment horizontal="right"/>
    </xf>
    <xf numFmtId="0" fontId="5" fillId="0" borderId="76" xfId="0" applyFont="1" applyBorder="1"/>
    <xf numFmtId="0" fontId="14" fillId="0" borderId="76" xfId="0" applyFont="1" applyBorder="1" applyAlignment="1">
      <alignment horizontal="right"/>
    </xf>
    <xf numFmtId="0" fontId="14" fillId="0" borderId="0" xfId="0" applyFont="1" applyAlignment="1">
      <alignment horizontal="center" vertical="center" wrapText="1"/>
    </xf>
    <xf numFmtId="0" fontId="14" fillId="0" borderId="0" xfId="0" applyFont="1" applyAlignment="1">
      <alignment horizontal="center" wrapText="1"/>
    </xf>
    <xf numFmtId="0" fontId="5" fillId="0" borderId="0" xfId="0" applyFont="1" applyBorder="1" applyAlignment="1">
      <alignment horizontal="center" vertical="center" wrapText="1"/>
    </xf>
    <xf numFmtId="174" fontId="5" fillId="0" borderId="0" xfId="0" applyNumberFormat="1" applyFont="1" applyAlignment="1">
      <alignment horizontal="right" vertical="center"/>
    </xf>
    <xf numFmtId="174" fontId="5" fillId="0" borderId="0" xfId="0" applyNumberFormat="1" applyFont="1" applyAlignment="1">
      <alignment horizontal="right"/>
    </xf>
    <xf numFmtId="174" fontId="5" fillId="0" borderId="0" xfId="0" applyNumberFormat="1" applyFont="1" applyAlignment="1">
      <alignment horizontal="center"/>
    </xf>
    <xf numFmtId="174" fontId="5" fillId="0" borderId="0" xfId="0" applyNumberFormat="1" applyFont="1" applyBorder="1" applyAlignment="1">
      <alignment horizontal="right" vertical="center"/>
    </xf>
    <xf numFmtId="174" fontId="5" fillId="0" borderId="0" xfId="0" applyNumberFormat="1" applyFont="1" applyBorder="1" applyAlignment="1">
      <alignment horizontal="right"/>
    </xf>
    <xf numFmtId="174" fontId="14" fillId="0" borderId="0" xfId="0" applyNumberFormat="1" applyFont="1" applyBorder="1" applyAlignment="1">
      <alignment horizontal="right" vertical="center"/>
    </xf>
    <xf numFmtId="174" fontId="14" fillId="0" borderId="0" xfId="0" applyNumberFormat="1" applyFont="1" applyAlignment="1">
      <alignment horizontal="right"/>
    </xf>
    <xf numFmtId="0" fontId="14" fillId="0" borderId="0" xfId="0" applyFont="1" applyBorder="1"/>
    <xf numFmtId="174" fontId="14" fillId="0" borderId="0" xfId="0" applyNumberFormat="1" applyFont="1" applyBorder="1" applyAlignment="1">
      <alignment horizontal="right"/>
    </xf>
    <xf numFmtId="0" fontId="72" fillId="0" borderId="0" xfId="0" applyFont="1" applyBorder="1"/>
    <xf numFmtId="173" fontId="72" fillId="0" borderId="0" xfId="0" applyNumberFormat="1" applyFont="1"/>
    <xf numFmtId="0" fontId="9" fillId="0" borderId="76" xfId="0" applyFont="1" applyBorder="1"/>
    <xf numFmtId="175" fontId="7" fillId="0" borderId="76" xfId="0" applyNumberFormat="1" applyFont="1" applyBorder="1" applyAlignment="1">
      <alignment horizontal="right"/>
    </xf>
    <xf numFmtId="175" fontId="9" fillId="0" borderId="76" xfId="0" applyNumberFormat="1" applyFont="1" applyBorder="1" applyAlignment="1">
      <alignment horizontal="right"/>
    </xf>
    <xf numFmtId="0" fontId="72" fillId="0" borderId="76" xfId="0" applyFont="1" applyBorder="1"/>
    <xf numFmtId="0" fontId="72" fillId="0" borderId="0" xfId="0" applyFont="1"/>
    <xf numFmtId="173" fontId="72" fillId="0" borderId="0" xfId="0" applyNumberFormat="1" applyFont="1" applyBorder="1"/>
    <xf numFmtId="0" fontId="14" fillId="0" borderId="0" xfId="0" applyFont="1" applyBorder="1" applyAlignment="1">
      <alignment horizontal="center" vertical="center"/>
    </xf>
    <xf numFmtId="0" fontId="63" fillId="0" borderId="0" xfId="0" applyFont="1" applyAlignment="1">
      <alignment horizontal="center"/>
    </xf>
    <xf numFmtId="174" fontId="63" fillId="0" borderId="0" xfId="0" applyNumberFormat="1" applyFont="1" applyAlignment="1">
      <alignment horizontal="center"/>
    </xf>
    <xf numFmtId="174" fontId="5" fillId="5" borderId="0" xfId="0" applyNumberFormat="1" applyFont="1" applyFill="1" applyAlignment="1">
      <alignment horizontal="center"/>
    </xf>
    <xf numFmtId="0" fontId="14" fillId="0" borderId="0" xfId="0" applyFont="1" applyBorder="1" applyAlignment="1">
      <alignment vertical="top" wrapText="1"/>
    </xf>
    <xf numFmtId="175" fontId="79" fillId="0" borderId="0" xfId="0" applyNumberFormat="1" applyFont="1" applyAlignment="1">
      <alignment horizontal="right"/>
    </xf>
    <xf numFmtId="174" fontId="14" fillId="0" borderId="0" xfId="0" applyNumberFormat="1" applyFont="1" applyBorder="1" applyAlignment="1">
      <alignment horizontal="right" vertical="top" wrapText="1"/>
    </xf>
    <xf numFmtId="175" fontId="14" fillId="0" borderId="0" xfId="0" applyNumberFormat="1" applyFont="1" applyAlignment="1">
      <alignment horizontal="right"/>
    </xf>
    <xf numFmtId="175" fontId="14" fillId="0" borderId="0" xfId="0" applyNumberFormat="1" applyFont="1" applyBorder="1" applyAlignment="1">
      <alignment horizontal="right" vertical="top" wrapText="1"/>
    </xf>
    <xf numFmtId="174" fontId="79" fillId="0" borderId="0" xfId="0" applyNumberFormat="1" applyFont="1" applyAlignment="1">
      <alignment horizontal="right"/>
    </xf>
    <xf numFmtId="0" fontId="9" fillId="0" borderId="0" xfId="0" applyFont="1" applyBorder="1" applyAlignment="1">
      <alignment horizontal="right"/>
    </xf>
    <xf numFmtId="0" fontId="58" fillId="0" borderId="0" xfId="0" applyFont="1" applyBorder="1" applyAlignment="1">
      <alignment vertical="top"/>
    </xf>
    <xf numFmtId="0" fontId="14" fillId="0" borderId="0" xfId="0" applyFont="1" applyBorder="1" applyAlignment="1">
      <alignment horizontal="center" wrapText="1"/>
    </xf>
    <xf numFmtId="0" fontId="9" fillId="0" borderId="0" xfId="0" applyFont="1" applyBorder="1"/>
    <xf numFmtId="0" fontId="5" fillId="0" borderId="0" xfId="0" applyFont="1" applyBorder="1" applyAlignment="1">
      <alignment horizontal="center" vertical="top" wrapText="1"/>
    </xf>
    <xf numFmtId="174" fontId="5" fillId="0" borderId="0" xfId="0" applyNumberFormat="1" applyFont="1" applyBorder="1" applyAlignment="1">
      <alignment horizontal="right" wrapText="1"/>
    </xf>
    <xf numFmtId="175" fontId="5" fillId="0" borderId="0" xfId="0" applyNumberFormat="1" applyFont="1" applyBorder="1" applyAlignment="1">
      <alignment horizontal="right" vertical="top" wrapText="1"/>
    </xf>
    <xf numFmtId="0" fontId="7" fillId="0" borderId="0" xfId="0" applyFont="1" applyBorder="1" applyAlignment="1">
      <alignment vertical="top" wrapText="1"/>
    </xf>
    <xf numFmtId="174" fontId="5" fillId="0" borderId="0" xfId="0" applyNumberFormat="1" applyFont="1" applyAlignment="1">
      <alignment horizontal="right" wrapText="1"/>
    </xf>
    <xf numFmtId="0" fontId="5" fillId="0" borderId="0" xfId="0" applyFont="1" applyBorder="1" applyAlignment="1">
      <alignment vertical="top" wrapText="1"/>
    </xf>
    <xf numFmtId="174" fontId="5" fillId="0" borderId="0" xfId="0" applyNumberFormat="1" applyFont="1" applyBorder="1" applyAlignment="1">
      <alignment horizontal="right" vertical="top" wrapText="1"/>
    </xf>
    <xf numFmtId="0" fontId="5" fillId="0" borderId="76" xfId="0" applyFont="1" applyBorder="1" applyAlignment="1">
      <alignment vertical="top" wrapText="1"/>
    </xf>
    <xf numFmtId="0" fontId="5" fillId="0" borderId="76" xfId="0" applyFont="1" applyBorder="1" applyAlignment="1">
      <alignment horizontal="center" vertical="top" wrapText="1"/>
    </xf>
    <xf numFmtId="174" fontId="5" fillId="0" borderId="76" xfId="0" applyNumberFormat="1" applyFont="1" applyBorder="1" applyAlignment="1">
      <alignment horizontal="right" wrapText="1"/>
    </xf>
    <xf numFmtId="174" fontId="5" fillId="0" borderId="76" xfId="0" applyNumberFormat="1" applyFont="1" applyBorder="1" applyAlignment="1">
      <alignment horizontal="right" vertical="top" wrapText="1"/>
    </xf>
    <xf numFmtId="0" fontId="7" fillId="0" borderId="76" xfId="0" applyFont="1" applyBorder="1" applyAlignment="1">
      <alignment vertical="top" wrapText="1"/>
    </xf>
    <xf numFmtId="0" fontId="62" fillId="0" borderId="76" xfId="0" applyFont="1" applyBorder="1"/>
    <xf numFmtId="0" fontId="62" fillId="0" borderId="0" xfId="0" applyFont="1" applyBorder="1"/>
    <xf numFmtId="0" fontId="79" fillId="0" borderId="0" xfId="0" applyFont="1" applyBorder="1"/>
    <xf numFmtId="0" fontId="63" fillId="0" borderId="0" xfId="0" applyFont="1"/>
    <xf numFmtId="187" fontId="14" fillId="0" borderId="0" xfId="4" applyNumberFormat="1" applyFont="1" applyFill="1" applyBorder="1" applyAlignment="1" applyProtection="1">
      <alignment horizontal="right"/>
    </xf>
    <xf numFmtId="0" fontId="79" fillId="0" borderId="0" xfId="0" applyFont="1"/>
    <xf numFmtId="44" fontId="5" fillId="0" borderId="0" xfId="2" applyFont="1" applyFill="1" applyAlignment="1" applyProtection="1">
      <alignment horizontal="right"/>
    </xf>
    <xf numFmtId="182" fontId="14" fillId="0" borderId="76" xfId="2" applyNumberFormat="1" applyFont="1" applyFill="1" applyBorder="1" applyAlignment="1" applyProtection="1">
      <alignment horizontal="right"/>
    </xf>
    <xf numFmtId="43" fontId="7" fillId="0" borderId="0" xfId="0" applyNumberFormat="1" applyFont="1"/>
    <xf numFmtId="182" fontId="14" fillId="0" borderId="0" xfId="0" applyNumberFormat="1" applyFont="1" applyAlignment="1">
      <alignment horizontal="right"/>
    </xf>
    <xf numFmtId="174" fontId="14" fillId="0" borderId="76" xfId="0" applyNumberFormat="1" applyFont="1" applyBorder="1" applyAlignment="1">
      <alignment horizontal="right"/>
    </xf>
    <xf numFmtId="0" fontId="50" fillId="0" borderId="0" xfId="0" applyFont="1" applyAlignment="1">
      <alignment vertical="center"/>
    </xf>
    <xf numFmtId="0" fontId="14" fillId="0" borderId="0" xfId="0" applyFont="1" applyAlignment="1">
      <alignment wrapText="1"/>
    </xf>
    <xf numFmtId="173" fontId="14" fillId="0" borderId="0" xfId="0" applyNumberFormat="1" applyFont="1" applyAlignment="1">
      <alignment horizontal="right"/>
    </xf>
    <xf numFmtId="186" fontId="5" fillId="0" borderId="0" xfId="0" applyNumberFormat="1" applyFont="1" applyAlignment="1">
      <alignment horizontal="right"/>
    </xf>
    <xf numFmtId="0" fontId="14" fillId="0" borderId="0" xfId="0" applyFont="1" applyBorder="1" applyAlignment="1">
      <alignment horizontal="left" vertical="top" wrapText="1"/>
    </xf>
    <xf numFmtId="0" fontId="14" fillId="0" borderId="0" xfId="0" applyFont="1" applyBorder="1" applyAlignment="1">
      <alignment horizontal="left" wrapText="1"/>
    </xf>
    <xf numFmtId="0" fontId="14" fillId="0" borderId="0" xfId="0" applyFont="1" applyBorder="1" applyAlignment="1">
      <alignment horizontal="right" wrapText="1"/>
    </xf>
    <xf numFmtId="0" fontId="59" fillId="4" borderId="0" xfId="8" applyFont="1" applyFill="1" applyProtection="1"/>
    <xf numFmtId="7" fontId="14" fillId="0" borderId="0" xfId="0" applyNumberFormat="1" applyFont="1" applyBorder="1" applyAlignment="1">
      <alignment horizontal="center" wrapText="1"/>
    </xf>
    <xf numFmtId="0" fontId="5" fillId="0" borderId="0" xfId="0" applyFont="1" applyBorder="1" applyAlignment="1">
      <alignment horizontal="right" wrapText="1"/>
    </xf>
    <xf numFmtId="0" fontId="9" fillId="0" borderId="0" xfId="0" applyFont="1" applyBorder="1" applyAlignment="1">
      <alignment horizontal="left" wrapText="1"/>
    </xf>
    <xf numFmtId="182" fontId="14" fillId="0" borderId="0" xfId="0" applyNumberFormat="1" applyFont="1" applyAlignment="1">
      <alignment horizontal="center"/>
    </xf>
    <xf numFmtId="0" fontId="59" fillId="0" borderId="0" xfId="8" applyFont="1" applyFill="1" applyProtection="1"/>
    <xf numFmtId="7" fontId="14" fillId="0" borderId="0" xfId="0" applyNumberFormat="1" applyFont="1" applyAlignment="1">
      <alignment horizontal="right" wrapText="1"/>
    </xf>
    <xf numFmtId="0" fontId="7" fillId="0" borderId="0" xfId="0" applyFont="1" applyBorder="1" applyAlignment="1">
      <alignment wrapText="1"/>
    </xf>
    <xf numFmtId="0" fontId="14" fillId="0" borderId="0" xfId="0" applyFont="1" applyBorder="1" applyAlignment="1">
      <alignment wrapText="1"/>
    </xf>
    <xf numFmtId="182" fontId="14" fillId="0" borderId="0" xfId="0" applyNumberFormat="1" applyFont="1" applyBorder="1" applyAlignment="1">
      <alignment horizontal="right" wrapText="1"/>
    </xf>
    <xf numFmtId="0" fontId="9" fillId="0" borderId="0" xfId="0" applyFont="1" applyBorder="1" applyAlignment="1">
      <alignment wrapText="1"/>
    </xf>
    <xf numFmtId="0" fontId="5" fillId="0" borderId="59" xfId="0" applyFont="1" applyBorder="1"/>
    <xf numFmtId="0" fontId="5" fillId="0" borderId="77" xfId="0" applyFont="1" applyBorder="1"/>
    <xf numFmtId="0" fontId="94" fillId="0" borderId="0" xfId="0" applyFont="1"/>
    <xf numFmtId="0" fontId="58" fillId="0" borderId="0" xfId="0" applyFont="1" applyBorder="1"/>
    <xf numFmtId="0" fontId="58" fillId="0" borderId="0" xfId="0" applyFont="1" applyBorder="1" applyAlignment="1">
      <alignment vertical="center" wrapText="1"/>
    </xf>
    <xf numFmtId="0" fontId="58" fillId="0" borderId="0" xfId="0" applyFont="1" applyBorder="1" applyAlignment="1">
      <alignment vertical="top" wrapText="1"/>
    </xf>
    <xf numFmtId="0" fontId="5" fillId="0" borderId="60" xfId="0" applyFont="1" applyBorder="1"/>
    <xf numFmtId="0" fontId="58" fillId="0" borderId="88" xfId="0" applyFont="1" applyBorder="1" applyAlignment="1">
      <alignment horizontal="left"/>
    </xf>
    <xf numFmtId="0" fontId="5" fillId="0" borderId="88" xfId="0" applyFont="1" applyBorder="1" applyAlignment="1">
      <alignment horizontal="left"/>
    </xf>
    <xf numFmtId="7" fontId="5" fillId="0" borderId="0" xfId="0" applyNumberFormat="1" applyFont="1" applyAlignment="1">
      <alignment horizontal="right" wrapText="1"/>
    </xf>
    <xf numFmtId="0" fontId="5" fillId="0" borderId="0" xfId="0" applyFont="1" applyAlignment="1">
      <alignment vertical="center"/>
    </xf>
    <xf numFmtId="0" fontId="5" fillId="0" borderId="60" xfId="0" applyFont="1" applyBorder="1" applyAlignment="1">
      <alignment horizontal="right"/>
    </xf>
    <xf numFmtId="182" fontId="5" fillId="0" borderId="0" xfId="2" applyNumberFormat="1" applyFont="1" applyAlignment="1" applyProtection="1">
      <alignment horizontal="right" wrapText="1"/>
    </xf>
    <xf numFmtId="39" fontId="5" fillId="0" borderId="60" xfId="0" applyNumberFormat="1" applyFont="1" applyBorder="1" applyAlignment="1">
      <alignment horizontal="right" wrapText="1"/>
    </xf>
    <xf numFmtId="182" fontId="5" fillId="0" borderId="76" xfId="2" applyNumberFormat="1" applyFont="1" applyBorder="1" applyAlignment="1" applyProtection="1">
      <alignment horizontal="right" wrapText="1"/>
    </xf>
    <xf numFmtId="174" fontId="5" fillId="0" borderId="60" xfId="0" applyNumberFormat="1" applyFont="1" applyBorder="1" applyAlignment="1">
      <alignment horizontal="right" wrapText="1"/>
    </xf>
    <xf numFmtId="0" fontId="14" fillId="0" borderId="88" xfId="0" applyFont="1" applyBorder="1" applyAlignment="1">
      <alignment horizontal="left"/>
    </xf>
    <xf numFmtId="7" fontId="14" fillId="0" borderId="0" xfId="0" applyNumberFormat="1" applyFont="1" applyBorder="1" applyAlignment="1">
      <alignment horizontal="right" wrapText="1"/>
    </xf>
    <xf numFmtId="0" fontId="94" fillId="0" borderId="0" xfId="0" applyFont="1" applyBorder="1"/>
    <xf numFmtId="2" fontId="5" fillId="0" borderId="0" xfId="0" applyNumberFormat="1" applyFont="1"/>
    <xf numFmtId="39" fontId="63" fillId="0" borderId="60" xfId="0" applyNumberFormat="1" applyFont="1" applyBorder="1" applyAlignment="1">
      <alignment horizontal="right" wrapText="1"/>
    </xf>
    <xf numFmtId="0" fontId="5" fillId="0" borderId="62" xfId="0" applyFont="1" applyBorder="1" applyAlignment="1">
      <alignment horizontal="left"/>
    </xf>
    <xf numFmtId="0" fontId="94" fillId="0" borderId="76" xfId="0" applyFont="1" applyBorder="1"/>
    <xf numFmtId="182" fontId="5" fillId="0" borderId="60" xfId="2" applyNumberFormat="1" applyFont="1" applyBorder="1" applyAlignment="1" applyProtection="1">
      <alignment horizontal="right" wrapText="1"/>
    </xf>
    <xf numFmtId="0" fontId="5" fillId="0" borderId="61" xfId="0" applyFont="1" applyBorder="1" applyAlignment="1">
      <alignment horizontal="right" wrapText="1"/>
    </xf>
    <xf numFmtId="0" fontId="59" fillId="4" borderId="0" xfId="8" applyFont="1" applyFill="1" applyAlignment="1" applyProtection="1">
      <alignment horizontal="left" vertical="center"/>
    </xf>
    <xf numFmtId="39" fontId="5" fillId="0" borderId="61" xfId="0" applyNumberFormat="1" applyFont="1" applyBorder="1" applyAlignment="1">
      <alignment horizontal="right" wrapText="1"/>
    </xf>
    <xf numFmtId="0" fontId="5" fillId="0" borderId="0" xfId="0" applyFont="1" applyAlignment="1">
      <alignment horizontal="left" vertical="center"/>
    </xf>
    <xf numFmtId="0" fontId="14" fillId="8" borderId="78" xfId="0" applyFont="1" applyFill="1" applyBorder="1" applyAlignment="1">
      <alignment horizontal="left"/>
    </xf>
    <xf numFmtId="0" fontId="14" fillId="8" borderId="80" xfId="0" applyFont="1" applyFill="1" applyBorder="1" applyAlignment="1">
      <alignment horizontal="left"/>
    </xf>
    <xf numFmtId="0" fontId="14" fillId="8" borderId="79" xfId="0" applyFont="1" applyFill="1" applyBorder="1" applyAlignment="1">
      <alignment horizontal="left"/>
    </xf>
    <xf numFmtId="182" fontId="14" fillId="8" borderId="79" xfId="2" applyNumberFormat="1" applyFont="1" applyFill="1" applyBorder="1" applyAlignment="1" applyProtection="1">
      <alignment horizontal="right"/>
    </xf>
    <xf numFmtId="0" fontId="5" fillId="0" borderId="60" xfId="0" applyFont="1" applyBorder="1" applyAlignment="1">
      <alignment horizontal="right" wrapText="1"/>
    </xf>
    <xf numFmtId="7" fontId="5" fillId="0" borderId="0" xfId="0" applyNumberFormat="1" applyFont="1" applyAlignment="1">
      <alignment horizontal="right"/>
    </xf>
    <xf numFmtId="7" fontId="5" fillId="0" borderId="60" xfId="0" applyNumberFormat="1" applyFont="1" applyBorder="1" applyAlignment="1">
      <alignment horizontal="right" wrapText="1"/>
    </xf>
    <xf numFmtId="0" fontId="5" fillId="0" borderId="88" xfId="0" applyFont="1" applyBorder="1"/>
    <xf numFmtId="0" fontId="79" fillId="0" borderId="76" xfId="0" applyFont="1" applyBorder="1"/>
    <xf numFmtId="37" fontId="5" fillId="0" borderId="61" xfId="0" applyNumberFormat="1" applyFont="1" applyBorder="1" applyAlignment="1">
      <alignment horizontal="right"/>
    </xf>
    <xf numFmtId="0" fontId="5" fillId="0" borderId="59" xfId="0" applyFont="1" applyBorder="1" applyAlignment="1">
      <alignment horizontal="right"/>
    </xf>
    <xf numFmtId="182" fontId="5" fillId="0" borderId="60" xfId="0" applyNumberFormat="1" applyFont="1" applyBorder="1" applyAlignment="1">
      <alignment horizontal="right"/>
    </xf>
    <xf numFmtId="0" fontId="28" fillId="0" borderId="0" xfId="0" applyFont="1"/>
    <xf numFmtId="0" fontId="5" fillId="0" borderId="0" xfId="0" applyFont="1" applyAlignment="1">
      <alignment horizontal="left"/>
    </xf>
    <xf numFmtId="182" fontId="5" fillId="0" borderId="0" xfId="0" applyNumberFormat="1" applyFont="1" applyAlignment="1">
      <alignment horizontal="right"/>
    </xf>
    <xf numFmtId="182" fontId="5" fillId="0" borderId="76" xfId="0" applyNumberFormat="1" applyFont="1" applyBorder="1" applyAlignment="1">
      <alignment horizontal="right"/>
    </xf>
    <xf numFmtId="182" fontId="5" fillId="0" borderId="80" xfId="0" applyNumberFormat="1" applyFont="1" applyBorder="1" applyAlignment="1">
      <alignment horizontal="right"/>
    </xf>
    <xf numFmtId="182" fontId="14" fillId="0" borderId="0" xfId="0" applyNumberFormat="1" applyFont="1" applyBorder="1" applyAlignment="1">
      <alignment horizontal="right"/>
    </xf>
    <xf numFmtId="0" fontId="58" fillId="0" borderId="0" xfId="0" applyFont="1" applyAlignment="1">
      <alignment vertical="top"/>
    </xf>
    <xf numFmtId="0" fontId="5" fillId="0" borderId="0" xfId="0" applyFont="1" applyAlignment="1">
      <alignment vertical="top"/>
    </xf>
    <xf numFmtId="0" fontId="58" fillId="0" borderId="0" xfId="0" applyFont="1" applyBorder="1" applyAlignment="1">
      <alignment horizontal="center" vertical="center"/>
    </xf>
    <xf numFmtId="0" fontId="5" fillId="0" borderId="0" xfId="0" applyFont="1" applyBorder="1" applyAlignment="1">
      <alignment vertical="center"/>
    </xf>
    <xf numFmtId="49" fontId="58" fillId="0" borderId="0" xfId="0" applyNumberFormat="1" applyFont="1" applyBorder="1" applyAlignment="1">
      <alignment horizontal="center" vertical="center"/>
    </xf>
    <xf numFmtId="49" fontId="58" fillId="0" borderId="0" xfId="0" applyNumberFormat="1" applyFont="1" applyBorder="1" applyAlignment="1">
      <alignment horizontal="center" vertical="center" wrapText="1"/>
    </xf>
    <xf numFmtId="49" fontId="58" fillId="0" borderId="0" xfId="0" applyNumberFormat="1" applyFont="1" applyBorder="1" applyAlignment="1">
      <alignment vertical="center"/>
    </xf>
    <xf numFmtId="173" fontId="5" fillId="0" borderId="0" xfId="0" applyNumberFormat="1" applyFont="1" applyBorder="1"/>
    <xf numFmtId="173" fontId="5" fillId="0" borderId="0" xfId="0" applyNumberFormat="1" applyFont="1"/>
    <xf numFmtId="173" fontId="5" fillId="0" borderId="0" xfId="0" applyNumberFormat="1" applyFont="1" applyBorder="1" applyAlignment="1">
      <alignment wrapText="1"/>
    </xf>
    <xf numFmtId="0" fontId="94" fillId="0" borderId="0" xfId="0" applyFont="1" applyAlignment="1">
      <alignment horizontal="right"/>
    </xf>
    <xf numFmtId="182" fontId="5" fillId="0" borderId="76" xfId="2" applyNumberFormat="1" applyFont="1" applyFill="1" applyBorder="1" applyAlignment="1" applyProtection="1">
      <alignment horizontal="right"/>
    </xf>
    <xf numFmtId="182" fontId="5" fillId="0" borderId="76" xfId="2" applyNumberFormat="1" applyFont="1" applyFill="1" applyBorder="1" applyAlignment="1" applyProtection="1">
      <alignment horizontal="right" wrapText="1"/>
    </xf>
    <xf numFmtId="2" fontId="5" fillId="0" borderId="0" xfId="0" applyNumberFormat="1" applyFont="1" applyBorder="1" applyAlignment="1">
      <alignment wrapText="1"/>
    </xf>
    <xf numFmtId="0" fontId="94" fillId="0" borderId="76" xfId="0" applyFont="1" applyBorder="1" applyAlignment="1">
      <alignment horizontal="right"/>
    </xf>
    <xf numFmtId="182" fontId="5" fillId="0" borderId="0" xfId="2" applyNumberFormat="1" applyFont="1" applyBorder="1" applyAlignment="1" applyProtection="1">
      <alignment horizontal="right"/>
    </xf>
    <xf numFmtId="2" fontId="5" fillId="0" borderId="0" xfId="0" applyNumberFormat="1" applyFont="1" applyBorder="1"/>
    <xf numFmtId="182" fontId="14" fillId="0" borderId="0" xfId="2" applyNumberFormat="1" applyFont="1" applyAlignment="1" applyProtection="1">
      <alignment horizontal="right"/>
    </xf>
    <xf numFmtId="0" fontId="50" fillId="0" borderId="0" xfId="0" applyFont="1" applyAlignment="1">
      <alignment vertical="top"/>
    </xf>
    <xf numFmtId="174" fontId="5" fillId="0" borderId="76" xfId="0" applyNumberFormat="1" applyFont="1" applyBorder="1" applyAlignment="1">
      <alignment horizontal="right"/>
    </xf>
    <xf numFmtId="189" fontId="5" fillId="0" borderId="76" xfId="0" applyNumberFormat="1" applyFont="1" applyBorder="1" applyAlignment="1">
      <alignment horizontal="right"/>
    </xf>
    <xf numFmtId="0" fontId="5" fillId="0" borderId="0" xfId="0" applyFont="1" applyAlignment="1">
      <alignment vertical="center" wrapText="1"/>
    </xf>
    <xf numFmtId="0" fontId="14" fillId="0" borderId="76" xfId="0" applyFont="1" applyBorder="1" applyAlignment="1">
      <alignment vertical="center"/>
    </xf>
    <xf numFmtId="182" fontId="5" fillId="0" borderId="0" xfId="2" applyNumberFormat="1" applyFont="1" applyFill="1" applyBorder="1" applyAlignment="1" applyProtection="1">
      <alignment horizontal="right"/>
    </xf>
    <xf numFmtId="182" fontId="94" fillId="0" borderId="0" xfId="0" applyNumberFormat="1" applyFont="1" applyAlignment="1">
      <alignment horizontal="right"/>
    </xf>
    <xf numFmtId="0" fontId="14" fillId="0" borderId="76" xfId="0" applyFont="1" applyBorder="1" applyAlignment="1">
      <alignment horizontal="center"/>
    </xf>
    <xf numFmtId="182" fontId="5" fillId="0" borderId="0" xfId="0" applyNumberFormat="1" applyFont="1"/>
    <xf numFmtId="182" fontId="75" fillId="0" borderId="0" xfId="0" applyNumberFormat="1" applyFont="1" applyAlignment="1">
      <alignment horizontal="right"/>
    </xf>
    <xf numFmtId="182" fontId="14" fillId="0" borderId="76" xfId="2" applyNumberFormat="1" applyFont="1" applyBorder="1" applyAlignment="1" applyProtection="1">
      <alignment horizontal="right"/>
    </xf>
    <xf numFmtId="0" fontId="62" fillId="3" borderId="0" xfId="0" applyFont="1" applyFill="1"/>
    <xf numFmtId="0" fontId="58" fillId="0" borderId="0" xfId="0" applyFont="1"/>
    <xf numFmtId="0" fontId="14" fillId="0" borderId="76" xfId="0" applyFont="1" applyBorder="1"/>
    <xf numFmtId="188" fontId="5" fillId="0" borderId="0" xfId="1" applyNumberFormat="1" applyFont="1" applyAlignment="1" applyProtection="1">
      <alignment horizontal="right"/>
    </xf>
    <xf numFmtId="7" fontId="5" fillId="0" borderId="0" xfId="0" applyNumberFormat="1" applyFont="1" applyBorder="1" applyAlignment="1">
      <alignment horizontal="right"/>
    </xf>
    <xf numFmtId="0" fontId="5" fillId="0" borderId="0" xfId="0" applyFont="1" applyBorder="1" applyAlignment="1">
      <alignment horizontal="center"/>
    </xf>
    <xf numFmtId="182" fontId="5" fillId="0" borderId="0" xfId="2" applyNumberFormat="1" applyFont="1" applyFill="1" applyProtection="1"/>
    <xf numFmtId="175" fontId="5" fillId="0" borderId="76" xfId="0" applyNumberFormat="1" applyFont="1" applyBorder="1" applyAlignment="1">
      <alignment horizontal="right"/>
    </xf>
    <xf numFmtId="182" fontId="14" fillId="0" borderId="76" xfId="0" applyNumberFormat="1" applyFont="1" applyBorder="1"/>
    <xf numFmtId="0" fontId="39" fillId="0" borderId="33" xfId="0" applyFont="1" applyBorder="1" applyAlignment="1">
      <alignment horizontal="center" wrapText="1"/>
    </xf>
    <xf numFmtId="0" fontId="39" fillId="0" borderId="33" xfId="0" applyFont="1" applyBorder="1" applyAlignment="1">
      <alignment horizontal="left" wrapText="1"/>
    </xf>
    <xf numFmtId="0" fontId="2" fillId="0" borderId="0" xfId="0" applyFont="1" applyAlignment="1">
      <alignment vertical="top" wrapText="1"/>
    </xf>
    <xf numFmtId="0" fontId="38" fillId="0" borderId="27" xfId="0" applyFont="1" applyBorder="1" applyAlignment="1">
      <alignment vertical="top" wrapText="1"/>
    </xf>
    <xf numFmtId="0" fontId="38" fillId="0" borderId="27" xfId="0" applyFont="1" applyBorder="1" applyAlignment="1">
      <alignment horizontal="center" vertical="top" wrapText="1"/>
    </xf>
    <xf numFmtId="0" fontId="38" fillId="0" borderId="33" xfId="0" applyFont="1" applyBorder="1" applyAlignment="1">
      <alignment horizontal="justify" vertical="top" wrapText="1"/>
    </xf>
    <xf numFmtId="0" fontId="38" fillId="0" borderId="27" xfId="0" applyFont="1" applyBorder="1" applyAlignment="1">
      <alignment horizontal="center" vertical="center" wrapText="1"/>
    </xf>
    <xf numFmtId="0" fontId="49" fillId="0" borderId="27" xfId="0" applyFont="1" applyBorder="1" applyAlignment="1">
      <alignment vertical="top" wrapText="1"/>
    </xf>
    <xf numFmtId="0" fontId="38" fillId="0" borderId="52" xfId="0" applyFont="1" applyBorder="1" applyAlignment="1">
      <alignment vertical="top" wrapText="1"/>
    </xf>
    <xf numFmtId="0" fontId="38" fillId="0" borderId="52" xfId="0" applyFont="1" applyBorder="1" applyAlignment="1">
      <alignment horizontal="center" vertical="top" wrapText="1"/>
    </xf>
    <xf numFmtId="0" fontId="40" fillId="0" borderId="33" xfId="8" applyFont="1" applyFill="1" applyBorder="1" applyAlignment="1" applyProtection="1">
      <alignment horizontal="justify" vertical="top" wrapText="1"/>
    </xf>
    <xf numFmtId="0" fontId="38" fillId="0" borderId="52" xfId="0" applyFont="1" applyBorder="1" applyAlignment="1">
      <alignment horizontal="center" vertical="center" wrapText="1"/>
    </xf>
    <xf numFmtId="0" fontId="38" fillId="0" borderId="33" xfId="0" applyFont="1" applyBorder="1" applyAlignment="1">
      <alignment vertical="top" wrapText="1"/>
    </xf>
    <xf numFmtId="0" fontId="38" fillId="0" borderId="33" xfId="0" applyFont="1" applyBorder="1" applyAlignment="1">
      <alignment horizontal="center" vertical="top" wrapText="1"/>
    </xf>
    <xf numFmtId="0" fontId="38" fillId="0" borderId="33" xfId="0" applyFont="1" applyBorder="1" applyAlignment="1">
      <alignment horizontal="center" vertical="center" wrapText="1"/>
    </xf>
    <xf numFmtId="0" fontId="38" fillId="8" borderId="33" xfId="0" applyFont="1" applyFill="1" applyBorder="1" applyAlignment="1">
      <alignment horizontal="center" vertical="center" wrapText="1"/>
    </xf>
    <xf numFmtId="0" fontId="38" fillId="0" borderId="25" xfId="0" applyFont="1" applyBorder="1" applyAlignment="1">
      <alignment horizontal="justify" vertical="top" wrapText="1"/>
    </xf>
    <xf numFmtId="0" fontId="40" fillId="0" borderId="33" xfId="8" applyFont="1" applyBorder="1" applyAlignment="1" applyProtection="1">
      <alignment horizontal="justify" vertical="top" wrapText="1"/>
    </xf>
    <xf numFmtId="0" fontId="38" fillId="0" borderId="27" xfId="0" applyFont="1" applyBorder="1" applyAlignment="1">
      <alignment horizontal="justify" vertical="top" wrapText="1"/>
    </xf>
    <xf numFmtId="0" fontId="49" fillId="0" borderId="33" xfId="0" applyFont="1" applyBorder="1" applyAlignment="1">
      <alignment vertical="top" wrapText="1"/>
    </xf>
    <xf numFmtId="0" fontId="38" fillId="0" borderId="33" xfId="0" applyFont="1" applyBorder="1" applyAlignment="1">
      <alignment horizontal="justify" vertical="top"/>
    </xf>
    <xf numFmtId="49" fontId="38" fillId="3" borderId="33" xfId="0" applyNumberFormat="1" applyFont="1" applyFill="1" applyBorder="1" applyAlignment="1">
      <alignment horizontal="justify" vertical="top" wrapText="1"/>
    </xf>
    <xf numFmtId="0" fontId="38" fillId="5" borderId="33" xfId="0" applyFont="1" applyFill="1" applyBorder="1" applyAlignment="1">
      <alignment horizontal="left" vertical="top" wrapText="1"/>
    </xf>
    <xf numFmtId="0" fontId="38" fillId="5" borderId="33" xfId="0" applyFont="1" applyFill="1" applyBorder="1" applyAlignment="1">
      <alignment horizontal="center" vertical="top" wrapText="1"/>
    </xf>
    <xf numFmtId="0" fontId="38" fillId="5" borderId="33" xfId="0" applyFont="1" applyFill="1" applyBorder="1" applyAlignment="1">
      <alignment horizontal="justify" vertical="top" wrapText="1"/>
    </xf>
    <xf numFmtId="0" fontId="2" fillId="0" borderId="0" xfId="0" applyFont="1" applyAlignment="1">
      <alignment vertical="top"/>
    </xf>
    <xf numFmtId="0" fontId="38" fillId="0" borderId="33" xfId="0" quotePrefix="1" applyFont="1" applyBorder="1" applyAlignment="1">
      <alignment horizontal="justify" vertical="top" wrapText="1"/>
    </xf>
    <xf numFmtId="0" fontId="40" fillId="0" borderId="33" xfId="8" applyFont="1" applyFill="1" applyBorder="1" applyAlignment="1" applyProtection="1">
      <alignment vertical="top" wrapText="1"/>
    </xf>
    <xf numFmtId="0" fontId="39" fillId="0" borderId="33" xfId="0" applyFont="1" applyBorder="1" applyAlignment="1">
      <alignment horizontal="justify" vertical="top" wrapText="1"/>
    </xf>
    <xf numFmtId="0" fontId="40" fillId="3" borderId="33" xfId="8" applyFont="1" applyFill="1" applyBorder="1" applyAlignment="1" applyProtection="1">
      <alignment horizontal="justify" vertical="top" wrapText="1"/>
    </xf>
    <xf numFmtId="0" fontId="38" fillId="0" borderId="0" xfId="0" applyFont="1" applyAlignment="1">
      <alignment horizontal="center" vertical="top" wrapText="1"/>
    </xf>
    <xf numFmtId="0" fontId="38" fillId="12" borderId="33" xfId="0" applyFont="1" applyFill="1" applyBorder="1" applyAlignment="1">
      <alignment horizontal="center" vertical="center" wrapText="1"/>
    </xf>
    <xf numFmtId="0" fontId="38" fillId="5" borderId="33" xfId="0" applyFont="1" applyFill="1" applyBorder="1" applyAlignment="1">
      <alignment vertical="top" wrapText="1"/>
    </xf>
    <xf numFmtId="49" fontId="38" fillId="0" borderId="33" xfId="0" applyNumberFormat="1" applyFont="1" applyBorder="1" applyAlignment="1">
      <alignment horizontal="justify" vertical="top" wrapText="1"/>
    </xf>
    <xf numFmtId="0" fontId="38" fillId="0" borderId="27" xfId="0" applyFont="1" applyBorder="1" applyAlignment="1">
      <alignment vertical="center" wrapText="1"/>
    </xf>
    <xf numFmtId="0" fontId="38" fillId="0" borderId="22" xfId="0" applyFont="1" applyBorder="1" applyAlignment="1">
      <alignment vertical="top" wrapText="1"/>
    </xf>
    <xf numFmtId="0" fontId="38" fillId="0" borderId="22" xfId="0" applyFont="1" applyBorder="1" applyAlignment="1">
      <alignment horizontal="justify" vertical="top" wrapText="1"/>
    </xf>
    <xf numFmtId="0" fontId="2" fillId="0" borderId="33" xfId="0" applyFont="1" applyBorder="1" applyAlignment="1">
      <alignment vertical="top" wrapText="1"/>
    </xf>
    <xf numFmtId="0" fontId="38" fillId="8" borderId="33" xfId="0" applyFont="1" applyFill="1" applyBorder="1" applyAlignment="1">
      <alignment horizontal="center" vertical="center"/>
    </xf>
    <xf numFmtId="0" fontId="38" fillId="0" borderId="45" xfId="0" applyFont="1" applyBorder="1" applyAlignment="1">
      <alignment horizontal="left" vertical="top" wrapText="1"/>
    </xf>
    <xf numFmtId="0" fontId="38" fillId="13" borderId="33" xfId="0" applyFont="1" applyFill="1" applyBorder="1" applyAlignment="1">
      <alignment vertical="top" wrapText="1"/>
    </xf>
    <xf numFmtId="0" fontId="40" fillId="2" borderId="0" xfId="8" applyFont="1" applyFill="1" applyAlignment="1" applyProtection="1">
      <alignment vertical="center" wrapText="1"/>
    </xf>
    <xf numFmtId="0" fontId="38" fillId="2" borderId="33" xfId="8" applyFont="1" applyFill="1" applyBorder="1" applyAlignment="1" applyProtection="1">
      <alignment vertical="top" wrapText="1"/>
    </xf>
    <xf numFmtId="0" fontId="40" fillId="0" borderId="22" xfId="8" applyFont="1" applyFill="1" applyBorder="1" applyAlignment="1" applyProtection="1">
      <alignment horizontal="justify" vertical="top" wrapText="1"/>
    </xf>
    <xf numFmtId="0" fontId="40" fillId="0" borderId="33" xfId="8" applyFont="1" applyBorder="1" applyAlignment="1" applyProtection="1">
      <alignment vertical="center" wrapText="1"/>
    </xf>
    <xf numFmtId="0" fontId="40" fillId="0" borderId="0" xfId="8" applyFont="1" applyAlignment="1" applyProtection="1">
      <alignment vertical="center" wrapText="1"/>
    </xf>
    <xf numFmtId="0" fontId="38" fillId="0" borderId="33" xfId="18" applyFont="1" applyFill="1" applyBorder="1" applyAlignment="1">
      <alignment horizontal="left" vertical="top" wrapText="1"/>
    </xf>
    <xf numFmtId="0" fontId="40" fillId="0" borderId="22" xfId="8" applyFont="1" applyBorder="1" applyAlignment="1" applyProtection="1">
      <alignment vertical="top" wrapText="1"/>
    </xf>
    <xf numFmtId="0" fontId="38" fillId="0" borderId="0" xfId="0" applyFont="1" applyAlignment="1">
      <alignment vertical="top" wrapText="1"/>
    </xf>
    <xf numFmtId="0" fontId="38" fillId="0" borderId="0" xfId="0" applyFont="1" applyAlignment="1">
      <alignment horizontal="center" vertical="center" wrapText="1"/>
    </xf>
    <xf numFmtId="176" fontId="9" fillId="0" borderId="23" xfId="0" applyNumberFormat="1" applyFont="1" applyBorder="1" applyAlignment="1" applyProtection="1">
      <alignment horizontal="right" wrapText="1"/>
      <protection locked="0"/>
    </xf>
    <xf numFmtId="0" fontId="65" fillId="14" borderId="58" xfId="0" applyFont="1" applyFill="1" applyBorder="1" applyAlignment="1">
      <alignment horizontal="left"/>
    </xf>
    <xf numFmtId="0" fontId="7" fillId="14" borderId="22" xfId="0" applyFont="1" applyFill="1" applyBorder="1" applyAlignment="1">
      <alignment horizontal="left"/>
    </xf>
    <xf numFmtId="0" fontId="7" fillId="14" borderId="45" xfId="0" applyFont="1" applyFill="1" applyBorder="1" applyAlignment="1">
      <alignment horizontal="right"/>
    </xf>
    <xf numFmtId="171" fontId="5" fillId="0" borderId="66" xfId="0" applyNumberFormat="1" applyFont="1" applyBorder="1" applyProtection="1">
      <protection locked="0"/>
    </xf>
    <xf numFmtId="171" fontId="5" fillId="0" borderId="74" xfId="0" applyNumberFormat="1" applyFont="1" applyBorder="1" applyProtection="1">
      <protection locked="0"/>
    </xf>
    <xf numFmtId="167" fontId="13" fillId="2" borderId="39" xfId="15" applyNumberFormat="1" applyFont="1" applyBorder="1" applyAlignment="1" applyProtection="1">
      <alignment horizontal="right"/>
      <protection locked="0"/>
    </xf>
    <xf numFmtId="167" fontId="13" fillId="2" borderId="19" xfId="15" applyNumberFormat="1" applyFont="1" applyBorder="1" applyAlignment="1" applyProtection="1">
      <alignment horizontal="right"/>
      <protection locked="0"/>
    </xf>
    <xf numFmtId="0" fontId="4" fillId="0" borderId="109" xfId="0" applyFont="1" applyBorder="1" applyProtection="1">
      <protection locked="0"/>
    </xf>
    <xf numFmtId="0" fontId="4" fillId="0" borderId="109" xfId="8" applyFont="1" applyBorder="1" applyAlignment="1" applyProtection="1">
      <protection locked="0"/>
    </xf>
    <xf numFmtId="183" fontId="4" fillId="0" borderId="109" xfId="0" applyNumberFormat="1" applyFont="1" applyBorder="1" applyProtection="1">
      <protection locked="0"/>
    </xf>
    <xf numFmtId="0" fontId="26" fillId="0" borderId="109" xfId="8" applyBorder="1" applyAlignment="1" applyProtection="1">
      <protection locked="0"/>
    </xf>
    <xf numFmtId="37" fontId="13" fillId="0" borderId="110" xfId="15" applyNumberFormat="1" applyFont="1" applyFill="1" applyBorder="1" applyAlignment="1" applyProtection="1">
      <alignment horizontal="right"/>
      <protection locked="0"/>
    </xf>
    <xf numFmtId="37" fontId="5" fillId="0" borderId="114" xfId="0" applyNumberFormat="1" applyFont="1" applyBorder="1" applyProtection="1">
      <protection locked="0"/>
    </xf>
    <xf numFmtId="37" fontId="7" fillId="0" borderId="115" xfId="0" applyNumberFormat="1" applyFont="1" applyBorder="1" applyProtection="1">
      <protection locked="0"/>
    </xf>
    <xf numFmtId="42" fontId="7" fillId="0" borderId="116" xfId="2" applyNumberFormat="1" applyFont="1" applyBorder="1" applyProtection="1">
      <protection locked="0"/>
    </xf>
    <xf numFmtId="37" fontId="7" fillId="0" borderId="116" xfId="4" applyNumberFormat="1" applyFont="1" applyBorder="1" applyProtection="1">
      <protection locked="0"/>
    </xf>
    <xf numFmtId="37" fontId="7" fillId="0" borderId="116" xfId="2" applyNumberFormat="1" applyFont="1" applyBorder="1" applyProtection="1">
      <protection locked="0"/>
    </xf>
    <xf numFmtId="37" fontId="7" fillId="0" borderId="116" xfId="4" applyNumberFormat="1" applyFont="1" applyBorder="1" applyAlignment="1" applyProtection="1">
      <alignment horizontal="left" vertical="top"/>
      <protection locked="0"/>
    </xf>
    <xf numFmtId="0" fontId="4" fillId="0" borderId="112" xfId="0" applyFont="1" applyBorder="1" applyAlignment="1" applyProtection="1">
      <alignment horizontal="left"/>
      <protection locked="0"/>
    </xf>
    <xf numFmtId="0" fontId="4" fillId="0" borderId="113" xfId="0" applyFont="1" applyBorder="1" applyAlignment="1" applyProtection="1">
      <alignment horizontal="left"/>
      <protection locked="0"/>
    </xf>
    <xf numFmtId="0" fontId="7" fillId="0" borderId="0" xfId="0" applyFont="1" applyAlignment="1">
      <alignment horizontal="center" vertical="top" wrapText="1"/>
    </xf>
    <xf numFmtId="0" fontId="69" fillId="0" borderId="0" xfId="0" applyFont="1" applyAlignment="1">
      <alignment horizontal="center" vertical="center" wrapText="1"/>
    </xf>
    <xf numFmtId="0" fontId="69" fillId="0" borderId="23" xfId="0" applyFont="1" applyBorder="1" applyAlignment="1">
      <alignment horizontal="center" vertical="center" wrapText="1"/>
    </xf>
    <xf numFmtId="0" fontId="7" fillId="0" borderId="8" xfId="0" applyFont="1" applyBorder="1" applyProtection="1">
      <protection locked="0"/>
    </xf>
    <xf numFmtId="0" fontId="7" fillId="0" borderId="26" xfId="0" applyFont="1" applyBorder="1" applyAlignment="1" applyProtection="1">
      <alignment horizontal="left" vertical="top"/>
      <protection locked="0"/>
    </xf>
    <xf numFmtId="0" fontId="7" fillId="0" borderId="18" xfId="0" applyFont="1" applyBorder="1" applyAlignment="1" applyProtection="1">
      <alignment horizontal="left" vertical="top"/>
      <protection locked="0"/>
    </xf>
    <xf numFmtId="0" fontId="7" fillId="0" borderId="50" xfId="0" applyFont="1" applyBorder="1" applyAlignment="1" applyProtection="1">
      <alignment horizontal="left" vertical="top"/>
      <protection locked="0"/>
    </xf>
    <xf numFmtId="0" fontId="7" fillId="0" borderId="2" xfId="0" applyFont="1" applyBorder="1" applyAlignment="1" applyProtection="1">
      <alignment horizontal="left" vertical="top"/>
      <protection locked="0"/>
    </xf>
    <xf numFmtId="0" fontId="7" fillId="0" borderId="0" xfId="0" applyFont="1" applyBorder="1" applyAlignment="1" applyProtection="1">
      <alignment horizontal="left" vertical="top"/>
      <protection locked="0"/>
    </xf>
    <xf numFmtId="0" fontId="7" fillId="0" borderId="28" xfId="0" applyFont="1" applyBorder="1" applyAlignment="1" applyProtection="1">
      <alignment horizontal="left" vertical="top"/>
      <protection locked="0"/>
    </xf>
    <xf numFmtId="0" fontId="7" fillId="0" borderId="10" xfId="0" applyFont="1" applyBorder="1" applyAlignment="1" applyProtection="1">
      <alignment horizontal="left" vertical="top"/>
      <protection locked="0"/>
    </xf>
    <xf numFmtId="0" fontId="7" fillId="0" borderId="23" xfId="0" applyFont="1" applyBorder="1" applyAlignment="1" applyProtection="1">
      <alignment horizontal="left" vertical="top"/>
      <protection locked="0"/>
    </xf>
    <xf numFmtId="0" fontId="7" fillId="0" borderId="11" xfId="0" applyFont="1" applyBorder="1" applyAlignment="1" applyProtection="1">
      <alignment horizontal="left" vertical="top"/>
      <protection locked="0"/>
    </xf>
    <xf numFmtId="0" fontId="7" fillId="0" borderId="16" xfId="0" applyFont="1" applyBorder="1" applyAlignment="1">
      <alignment horizontal="center" vertical="top"/>
    </xf>
    <xf numFmtId="0" fontId="7" fillId="0" borderId="68" xfId="0" applyFont="1" applyBorder="1" applyAlignment="1" applyProtection="1">
      <alignment horizontal="center"/>
      <protection locked="0"/>
    </xf>
    <xf numFmtId="0" fontId="7" fillId="0" borderId="0" xfId="0" applyFont="1" applyAlignment="1">
      <alignment horizontal="left"/>
    </xf>
    <xf numFmtId="0" fontId="7" fillId="0" borderId="0" xfId="0" applyFont="1" applyAlignment="1">
      <alignment horizontal="center"/>
    </xf>
    <xf numFmtId="0" fontId="7" fillId="0" borderId="14" xfId="0" applyFont="1" applyBorder="1" applyProtection="1">
      <protection locked="0"/>
    </xf>
    <xf numFmtId="181" fontId="7" fillId="0" borderId="14" xfId="0" applyNumberFormat="1" applyFont="1" applyBorder="1" applyAlignment="1" applyProtection="1">
      <alignment horizontal="center"/>
      <protection locked="0"/>
    </xf>
    <xf numFmtId="0" fontId="30" fillId="0" borderId="14" xfId="8" applyFont="1" applyBorder="1" applyAlignment="1">
      <alignment horizontal="center"/>
      <protection locked="0"/>
    </xf>
    <xf numFmtId="0" fontId="7" fillId="0" borderId="16" xfId="0" applyFont="1" applyBorder="1" applyAlignment="1">
      <alignment horizontal="center"/>
    </xf>
    <xf numFmtId="176" fontId="7" fillId="0" borderId="68" xfId="0" applyNumberFormat="1" applyFont="1" applyBorder="1" applyAlignment="1" applyProtection="1">
      <alignment horizontal="center"/>
      <protection locked="0"/>
    </xf>
    <xf numFmtId="0" fontId="7" fillId="0" borderId="95" xfId="0" applyFont="1" applyBorder="1" applyAlignment="1">
      <alignment horizontal="center" vertical="center"/>
    </xf>
    <xf numFmtId="0" fontId="7" fillId="0" borderId="14" xfId="0" applyFont="1" applyBorder="1" applyAlignment="1" applyProtection="1">
      <alignment horizontal="center"/>
      <protection locked="0"/>
    </xf>
    <xf numFmtId="49" fontId="3" fillId="0" borderId="14" xfId="0" applyNumberFormat="1" applyFont="1" applyBorder="1" applyAlignment="1" applyProtection="1">
      <alignment horizontal="left"/>
      <protection locked="0"/>
    </xf>
    <xf numFmtId="176" fontId="7" fillId="0" borderId="8" xfId="0" applyNumberFormat="1" applyFont="1" applyBorder="1" applyAlignment="1" applyProtection="1">
      <alignment horizontal="center"/>
      <protection locked="0"/>
    </xf>
    <xf numFmtId="49" fontId="1" fillId="0" borderId="14" xfId="0" applyNumberFormat="1" applyFont="1" applyBorder="1" applyProtection="1">
      <protection locked="0"/>
    </xf>
    <xf numFmtId="38" fontId="7" fillId="0" borderId="68" xfId="0" applyNumberFormat="1" applyFont="1" applyBorder="1" applyAlignment="1" applyProtection="1">
      <alignment horizontal="center"/>
      <protection locked="0"/>
    </xf>
    <xf numFmtId="0" fontId="96" fillId="0" borderId="0" xfId="0" applyFont="1" applyAlignment="1">
      <alignment horizontal="center" vertical="center" wrapText="1"/>
    </xf>
    <xf numFmtId="0" fontId="7" fillId="0" borderId="9" xfId="0" applyFont="1" applyBorder="1" applyAlignment="1">
      <alignment horizontal="center"/>
    </xf>
    <xf numFmtId="180" fontId="7" fillId="0" borderId="14" xfId="0" applyNumberFormat="1" applyFont="1" applyBorder="1" applyAlignment="1" applyProtection="1">
      <alignment horizontal="center"/>
      <protection locked="0"/>
    </xf>
    <xf numFmtId="0" fontId="7" fillId="0" borderId="0" xfId="0" applyFont="1" applyAlignment="1">
      <alignment horizontal="center" vertical="center"/>
    </xf>
    <xf numFmtId="0" fontId="0" fillId="0" borderId="0" xfId="0" applyAlignment="1">
      <alignment vertical="center"/>
    </xf>
    <xf numFmtId="0" fontId="0" fillId="0" borderId="9" xfId="0" applyBorder="1" applyAlignment="1">
      <alignment vertical="center"/>
    </xf>
    <xf numFmtId="0" fontId="4" fillId="0" borderId="58" xfId="0" applyFont="1" applyBorder="1" applyAlignment="1" applyProtection="1">
      <alignment horizontal="left" vertical="center"/>
      <protection locked="0"/>
    </xf>
    <xf numFmtId="0" fontId="4" fillId="0" borderId="45" xfId="0" applyFont="1" applyBorder="1" applyAlignment="1" applyProtection="1">
      <alignment horizontal="left" vertical="center"/>
      <protection locked="0"/>
    </xf>
    <xf numFmtId="0" fontId="4" fillId="0" borderId="58" xfId="0" applyFont="1" applyBorder="1" applyAlignment="1" applyProtection="1">
      <alignment horizontal="left"/>
      <protection locked="0"/>
    </xf>
    <xf numFmtId="0" fontId="4" fillId="0" borderId="45" xfId="0" applyFont="1" applyBorder="1" applyAlignment="1" applyProtection="1">
      <alignment horizontal="left"/>
      <protection locked="0"/>
    </xf>
    <xf numFmtId="0" fontId="76" fillId="0" borderId="2" xfId="0" applyFont="1" applyBorder="1" applyAlignment="1">
      <alignment wrapText="1"/>
    </xf>
    <xf numFmtId="0" fontId="76" fillId="0" borderId="0" xfId="0" applyFont="1" applyAlignment="1">
      <alignment wrapText="1"/>
    </xf>
    <xf numFmtId="0" fontId="4" fillId="0" borderId="58" xfId="0" applyFont="1" applyBorder="1" applyAlignment="1" applyProtection="1">
      <alignment horizontal="center"/>
      <protection locked="0"/>
    </xf>
    <xf numFmtId="0" fontId="4" fillId="0" borderId="45" xfId="0" applyFont="1" applyBorder="1" applyAlignment="1" applyProtection="1">
      <alignment horizontal="center"/>
      <protection locked="0"/>
    </xf>
    <xf numFmtId="0" fontId="4" fillId="0" borderId="58" xfId="0" applyFont="1" applyBorder="1" applyAlignment="1">
      <alignment horizontal="left"/>
    </xf>
    <xf numFmtId="0" fontId="4" fillId="0" borderId="45" xfId="0" applyFont="1" applyBorder="1" applyAlignment="1">
      <alignment horizontal="left"/>
    </xf>
    <xf numFmtId="0" fontId="110" fillId="0" borderId="110" xfId="0" applyFont="1" applyBorder="1" applyAlignment="1" applyProtection="1">
      <alignment horizontal="left"/>
      <protection locked="0"/>
    </xf>
    <xf numFmtId="0" fontId="97" fillId="0" borderId="111" xfId="0" applyFont="1" applyBorder="1" applyAlignment="1" applyProtection="1">
      <alignment horizontal="left"/>
      <protection locked="0"/>
    </xf>
    <xf numFmtId="0" fontId="4" fillId="0" borderId="110" xfId="0" applyFont="1" applyBorder="1" applyAlignment="1" applyProtection="1">
      <alignment horizontal="left"/>
      <protection locked="0"/>
    </xf>
    <xf numFmtId="0" fontId="4" fillId="0" borderId="111" xfId="0" applyFont="1" applyBorder="1" applyAlignment="1" applyProtection="1">
      <alignment horizontal="left"/>
      <protection locked="0"/>
    </xf>
    <xf numFmtId="0" fontId="4" fillId="0" borderId="112" xfId="0" applyFont="1" applyBorder="1" applyAlignment="1" applyProtection="1">
      <alignment horizontal="left"/>
      <protection locked="0"/>
    </xf>
    <xf numFmtId="0" fontId="4" fillId="0" borderId="113" xfId="0" applyFont="1" applyBorder="1" applyAlignment="1" applyProtection="1">
      <alignment horizontal="left"/>
      <protection locked="0"/>
    </xf>
    <xf numFmtId="0" fontId="4" fillId="0" borderId="96" xfId="0" applyFont="1" applyBorder="1" applyAlignment="1" applyProtection="1">
      <alignment horizontal="left"/>
      <protection locked="0"/>
    </xf>
    <xf numFmtId="0" fontId="4" fillId="0" borderId="97" xfId="0" applyFont="1" applyBorder="1" applyAlignment="1" applyProtection="1">
      <alignment horizontal="left"/>
      <protection locked="0"/>
    </xf>
    <xf numFmtId="0" fontId="6" fillId="0" borderId="0" xfId="0" applyFont="1" applyAlignment="1">
      <alignment horizontal="center"/>
    </xf>
    <xf numFmtId="0" fontId="4" fillId="0" borderId="10" xfId="0" applyFont="1" applyBorder="1" applyAlignment="1" applyProtection="1">
      <alignment vertical="center"/>
      <protection locked="0"/>
    </xf>
    <xf numFmtId="0" fontId="4" fillId="0" borderId="11" xfId="0" applyFont="1" applyBorder="1" applyAlignment="1" applyProtection="1">
      <alignment vertical="center"/>
      <protection locked="0"/>
    </xf>
    <xf numFmtId="0" fontId="4" fillId="0" borderId="23" xfId="0" applyFont="1" applyBorder="1" applyAlignment="1">
      <alignment horizontal="center"/>
    </xf>
    <xf numFmtId="3" fontId="7" fillId="0" borderId="12" xfId="0" applyNumberFormat="1" applyFont="1" applyBorder="1" applyAlignment="1">
      <alignment horizontal="right"/>
    </xf>
    <xf numFmtId="3" fontId="0" fillId="0" borderId="17" xfId="0" applyNumberFormat="1" applyBorder="1"/>
    <xf numFmtId="4" fontId="7" fillId="0" borderId="12" xfId="0" applyNumberFormat="1" applyFont="1" applyBorder="1" applyAlignment="1">
      <alignment horizontal="right"/>
    </xf>
    <xf numFmtId="0" fontId="0" fillId="0" borderId="17" xfId="0" applyBorder="1" applyAlignment="1">
      <alignment horizontal="right"/>
    </xf>
    <xf numFmtId="0" fontId="9" fillId="0" borderId="0" xfId="0" applyFont="1" applyAlignment="1">
      <alignment horizontal="right" vertical="top" wrapText="1"/>
    </xf>
    <xf numFmtId="165" fontId="7" fillId="2" borderId="12" xfId="0" applyNumberFormat="1" applyFont="1" applyFill="1" applyBorder="1"/>
    <xf numFmtId="165" fontId="0" fillId="2" borderId="17" xfId="0" applyNumberFormat="1" applyFill="1" applyBorder="1"/>
    <xf numFmtId="3" fontId="0" fillId="0" borderId="17" xfId="0" applyNumberFormat="1" applyBorder="1" applyAlignment="1">
      <alignment horizontal="right"/>
    </xf>
    <xf numFmtId="0" fontId="0" fillId="0" borderId="17" xfId="0" applyBorder="1"/>
    <xf numFmtId="0" fontId="3" fillId="0" borderId="14" xfId="0" applyFont="1" applyBorder="1" applyAlignment="1">
      <alignment horizontal="left"/>
    </xf>
    <xf numFmtId="0" fontId="1" fillId="0" borderId="14" xfId="0" applyFont="1" applyBorder="1"/>
    <xf numFmtId="4" fontId="7" fillId="0" borderId="12" xfId="0" applyNumberFormat="1" applyFont="1" applyBorder="1"/>
    <xf numFmtId="4" fontId="7" fillId="2" borderId="12" xfId="0" applyNumberFormat="1" applyFont="1" applyFill="1" applyBorder="1"/>
    <xf numFmtId="0" fontId="0" fillId="2" borderId="17" xfId="0" applyFill="1" applyBorder="1"/>
    <xf numFmtId="0" fontId="3" fillId="0" borderId="14" xfId="0" applyFont="1" applyBorder="1" applyAlignment="1">
      <alignment horizontal="center"/>
    </xf>
    <xf numFmtId="0" fontId="1" fillId="0" borderId="14" xfId="0" applyFont="1" applyBorder="1" applyAlignment="1">
      <alignment horizontal="center"/>
    </xf>
    <xf numFmtId="3" fontId="7" fillId="0" borderId="12" xfId="0" applyNumberFormat="1" applyFont="1" applyBorder="1"/>
    <xf numFmtId="3" fontId="7" fillId="2" borderId="12" xfId="0" applyNumberFormat="1" applyFont="1" applyFill="1" applyBorder="1" applyAlignment="1">
      <alignment horizontal="right"/>
    </xf>
    <xf numFmtId="3" fontId="0" fillId="2" borderId="17" xfId="0" applyNumberFormat="1" applyFill="1" applyBorder="1" applyAlignment="1">
      <alignment horizontal="right"/>
    </xf>
    <xf numFmtId="3" fontId="7" fillId="2" borderId="12" xfId="0" applyNumberFormat="1" applyFont="1" applyFill="1" applyBorder="1"/>
    <xf numFmtId="3" fontId="0" fillId="2" borderId="17" xfId="0" applyNumberFormat="1" applyFill="1" applyBorder="1"/>
    <xf numFmtId="165" fontId="7" fillId="2" borderId="12" xfId="0" applyNumberFormat="1" applyFont="1" applyFill="1" applyBorder="1" applyAlignment="1">
      <alignment horizontal="right"/>
    </xf>
    <xf numFmtId="165" fontId="7" fillId="2" borderId="17" xfId="0" applyNumberFormat="1" applyFont="1" applyFill="1" applyBorder="1" applyAlignment="1">
      <alignment horizontal="right"/>
    </xf>
    <xf numFmtId="0" fontId="8" fillId="3" borderId="0" xfId="0" applyFont="1" applyFill="1" applyAlignment="1">
      <alignment horizontal="center"/>
    </xf>
    <xf numFmtId="38" fontId="62" fillId="0" borderId="0" xfId="0" applyNumberFormat="1" applyFont="1" applyAlignment="1">
      <alignment horizontal="right"/>
    </xf>
    <xf numFmtId="0" fontId="62" fillId="0" borderId="0" xfId="0" applyFont="1" applyAlignment="1">
      <alignment horizontal="right"/>
    </xf>
    <xf numFmtId="38" fontId="3" fillId="0" borderId="53" xfId="0" applyNumberFormat="1" applyFont="1" applyBorder="1"/>
    <xf numFmtId="38" fontId="3" fillId="0" borderId="82" xfId="0" applyNumberFormat="1" applyFont="1" applyBorder="1"/>
    <xf numFmtId="0" fontId="3" fillId="0" borderId="0" xfId="0" applyFont="1" applyAlignment="1">
      <alignment horizontal="justify" wrapText="1"/>
    </xf>
    <xf numFmtId="0" fontId="0" fillId="0" borderId="0" xfId="0" applyAlignment="1">
      <alignment horizontal="justify" wrapText="1"/>
    </xf>
    <xf numFmtId="0" fontId="0" fillId="0" borderId="0" xfId="0" applyAlignment="1">
      <alignment horizontal="justify"/>
    </xf>
    <xf numFmtId="0" fontId="36" fillId="3" borderId="0" xfId="8" applyFont="1" applyFill="1" applyAlignment="1" applyProtection="1">
      <alignment horizontal="left"/>
    </xf>
    <xf numFmtId="0" fontId="109" fillId="0" borderId="0" xfId="0" applyFont="1" applyAlignment="1">
      <alignment horizontal="left" vertical="top" wrapText="1"/>
    </xf>
    <xf numFmtId="0" fontId="0" fillId="0" borderId="82" xfId="0" applyBorder="1"/>
    <xf numFmtId="0" fontId="36" fillId="4" borderId="0" xfId="8" applyFont="1" applyFill="1" applyAlignment="1" applyProtection="1">
      <alignment horizontal="left"/>
    </xf>
    <xf numFmtId="38" fontId="3" fillId="0" borderId="9" xfId="0" applyNumberFormat="1" applyFont="1" applyBorder="1"/>
    <xf numFmtId="0" fontId="0" fillId="0" borderId="9" xfId="0" applyBorder="1"/>
    <xf numFmtId="49" fontId="3" fillId="0" borderId="14" xfId="0" applyNumberFormat="1" applyFont="1" applyBorder="1" applyAlignment="1">
      <alignment horizontal="left"/>
    </xf>
    <xf numFmtId="0" fontId="0" fillId="0" borderId="14" xfId="0" applyBorder="1"/>
    <xf numFmtId="0" fontId="8" fillId="0" borderId="0" xfId="0" applyFont="1" applyAlignment="1">
      <alignment horizontal="right"/>
    </xf>
    <xf numFmtId="0" fontId="0" fillId="0" borderId="0" xfId="0" applyAlignment="1">
      <alignment horizontal="right"/>
    </xf>
    <xf numFmtId="0" fontId="5" fillId="0" borderId="2" xfId="0" applyFont="1" applyBorder="1" applyAlignment="1">
      <alignment wrapText="1"/>
    </xf>
    <xf numFmtId="0" fontId="5" fillId="0" borderId="0" xfId="0" applyFont="1" applyBorder="1" applyAlignment="1">
      <alignment wrapText="1"/>
    </xf>
    <xf numFmtId="0" fontId="5" fillId="0" borderId="10" xfId="0" applyFont="1" applyBorder="1" applyAlignment="1">
      <alignment horizontal="left" wrapText="1"/>
    </xf>
    <xf numFmtId="0" fontId="5" fillId="0" borderId="23" xfId="0" applyFont="1" applyBorder="1" applyAlignment="1">
      <alignment horizontal="left" wrapText="1"/>
    </xf>
    <xf numFmtId="37" fontId="7" fillId="0" borderId="0" xfId="0" applyNumberFormat="1" applyFont="1"/>
    <xf numFmtId="0" fontId="5" fillId="0" borderId="2" xfId="0" applyFont="1" applyBorder="1" applyAlignment="1">
      <alignment horizontal="left" wrapText="1"/>
    </xf>
    <xf numFmtId="0" fontId="5" fillId="0" borderId="0" xfId="0" applyFont="1" applyBorder="1" applyAlignment="1">
      <alignment horizontal="left" wrapText="1"/>
    </xf>
    <xf numFmtId="0" fontId="5" fillId="5" borderId="2" xfId="0" applyFont="1" applyFill="1" applyBorder="1" applyAlignment="1">
      <alignment wrapText="1"/>
    </xf>
    <xf numFmtId="0" fontId="5" fillId="5" borderId="0" xfId="0" applyFont="1" applyFill="1" applyBorder="1" applyAlignment="1">
      <alignment wrapText="1"/>
    </xf>
    <xf numFmtId="0" fontId="88" fillId="0" borderId="0" xfId="0" applyFont="1" applyAlignment="1">
      <alignment horizontal="left"/>
    </xf>
    <xf numFmtId="0" fontId="0" fillId="0" borderId="14" xfId="0" applyBorder="1" applyAlignment="1">
      <alignment horizontal="left"/>
    </xf>
    <xf numFmtId="0" fontId="98" fillId="0" borderId="23" xfId="0" applyFont="1" applyBorder="1" applyAlignment="1">
      <alignment horizontal="center" vertical="center"/>
    </xf>
    <xf numFmtId="0" fontId="5" fillId="0" borderId="58" xfId="0" applyFont="1" applyBorder="1" applyAlignment="1">
      <alignment horizontal="center"/>
    </xf>
    <xf numFmtId="0" fontId="5" fillId="0" borderId="45" xfId="0" applyFont="1" applyBorder="1" applyAlignment="1">
      <alignment horizontal="center"/>
    </xf>
    <xf numFmtId="0" fontId="8" fillId="0" borderId="0" xfId="0" applyFont="1" applyBorder="1" applyAlignment="1">
      <alignment horizontal="center" wrapText="1"/>
    </xf>
    <xf numFmtId="0" fontId="7" fillId="0" borderId="0" xfId="0" applyFont="1" applyAlignment="1">
      <alignment horizontal="right"/>
    </xf>
    <xf numFmtId="0" fontId="5" fillId="0" borderId="26" xfId="0" applyFont="1" applyBorder="1" applyAlignment="1">
      <alignment horizontal="left" wrapText="1"/>
    </xf>
    <xf numFmtId="0" fontId="5" fillId="0" borderId="18" xfId="0" applyFont="1" applyBorder="1" applyAlignment="1">
      <alignment horizontal="left" wrapText="1"/>
    </xf>
    <xf numFmtId="0" fontId="9" fillId="0" borderId="0" xfId="0" applyFont="1" applyAlignment="1">
      <alignment horizontal="center" vertical="top" wrapText="1"/>
    </xf>
    <xf numFmtId="0" fontId="7" fillId="0" borderId="0" xfId="0" applyFont="1" applyAlignment="1">
      <alignment horizontal="left" vertical="top" wrapText="1"/>
    </xf>
    <xf numFmtId="0" fontId="7" fillId="0" borderId="0" xfId="0" applyFont="1" applyAlignment="1">
      <alignment horizontal="center" wrapText="1"/>
    </xf>
    <xf numFmtId="0" fontId="7" fillId="0" borderId="23" xfId="0" applyFont="1" applyBorder="1" applyAlignment="1">
      <alignment horizontal="center" wrapText="1"/>
    </xf>
    <xf numFmtId="0" fontId="7" fillId="0" borderId="0" xfId="0" applyFont="1" applyAlignment="1">
      <alignment horizontal="left" vertical="center" wrapText="1"/>
    </xf>
    <xf numFmtId="0" fontId="0" fillId="0" borderId="0" xfId="0" applyAlignment="1">
      <alignment horizontal="left" vertical="center" wrapText="1"/>
    </xf>
    <xf numFmtId="0" fontId="7" fillId="0" borderId="12" xfId="0" applyFont="1" applyBorder="1" applyAlignment="1">
      <alignment horizontal="center"/>
    </xf>
    <xf numFmtId="0" fontId="0" fillId="0" borderId="5" xfId="0" applyBorder="1"/>
    <xf numFmtId="0" fontId="7" fillId="0" borderId="94" xfId="0" applyFont="1" applyBorder="1" applyAlignment="1">
      <alignment horizontal="center" wrapText="1"/>
    </xf>
    <xf numFmtId="0" fontId="0" fillId="0" borderId="25" xfId="0" applyBorder="1" applyAlignment="1">
      <alignment horizontal="center" wrapText="1"/>
    </xf>
    <xf numFmtId="0" fontId="7" fillId="0" borderId="25" xfId="0" applyFont="1" applyBorder="1" applyAlignment="1">
      <alignment horizontal="center" wrapText="1"/>
    </xf>
    <xf numFmtId="0" fontId="6" fillId="0" borderId="14" xfId="0" applyFont="1" applyBorder="1" applyAlignment="1">
      <alignment horizontal="center"/>
    </xf>
    <xf numFmtId="0" fontId="7" fillId="5" borderId="94" xfId="0" applyFont="1" applyFill="1" applyBorder="1" applyAlignment="1">
      <alignment horizontal="center" wrapText="1"/>
    </xf>
    <xf numFmtId="0" fontId="7" fillId="5" borderId="25" xfId="0" applyFont="1" applyFill="1" applyBorder="1" applyAlignment="1">
      <alignment horizontal="center" wrapText="1"/>
    </xf>
    <xf numFmtId="165" fontId="0" fillId="2" borderId="17" xfId="0" applyNumberFormat="1" applyFill="1" applyBorder="1" applyAlignment="1">
      <alignment horizontal="right"/>
    </xf>
    <xf numFmtId="37" fontId="7" fillId="0" borderId="12" xfId="0" applyNumberFormat="1" applyFont="1" applyBorder="1" applyAlignment="1">
      <alignment horizontal="right"/>
    </xf>
    <xf numFmtId="37" fontId="7" fillId="2" borderId="12" xfId="0" applyNumberFormat="1" applyFont="1" applyFill="1" applyBorder="1" applyAlignment="1">
      <alignment horizontal="right"/>
    </xf>
    <xf numFmtId="0" fontId="0" fillId="2" borderId="17" xfId="0" applyFill="1" applyBorder="1" applyAlignment="1">
      <alignment horizontal="right"/>
    </xf>
    <xf numFmtId="37" fontId="7" fillId="9" borderId="12" xfId="0" applyNumberFormat="1" applyFont="1" applyFill="1" applyBorder="1" applyAlignment="1">
      <alignment horizontal="right"/>
    </xf>
    <xf numFmtId="0" fontId="0" fillId="9" borderId="17" xfId="0" applyFill="1" applyBorder="1" applyAlignment="1">
      <alignment horizontal="right"/>
    </xf>
    <xf numFmtId="37" fontId="7" fillId="9" borderId="98" xfId="0" applyNumberFormat="1" applyFont="1" applyFill="1" applyBorder="1" applyAlignment="1">
      <alignment horizontal="right"/>
    </xf>
    <xf numFmtId="0" fontId="0" fillId="9" borderId="108" xfId="0" applyFill="1" applyBorder="1"/>
    <xf numFmtId="0" fontId="43" fillId="4" borderId="6" xfId="8" applyFont="1" applyFill="1" applyBorder="1" applyAlignment="1" applyProtection="1">
      <alignment horizontal="center"/>
    </xf>
    <xf numFmtId="0" fontId="43" fillId="4" borderId="1" xfId="8" applyFont="1" applyFill="1" applyBorder="1" applyAlignment="1" applyProtection="1">
      <alignment horizontal="center"/>
    </xf>
    <xf numFmtId="0" fontId="43" fillId="4" borderId="72" xfId="8" applyFont="1" applyFill="1" applyBorder="1" applyAlignment="1" applyProtection="1">
      <alignment horizontal="center"/>
    </xf>
    <xf numFmtId="0" fontId="43" fillId="4" borderId="19" xfId="8" applyFont="1" applyFill="1" applyBorder="1" applyAlignment="1" applyProtection="1">
      <alignment horizontal="center"/>
    </xf>
    <xf numFmtId="0" fontId="14" fillId="0" borderId="4" xfId="11" applyFont="1" applyBorder="1" applyAlignment="1">
      <alignment horizontal="center"/>
    </xf>
    <xf numFmtId="0" fontId="14" fillId="0" borderId="17" xfId="11" applyFont="1" applyBorder="1" applyAlignment="1">
      <alignment horizontal="center"/>
    </xf>
    <xf numFmtId="177" fontId="14" fillId="2" borderId="17" xfId="11" applyNumberFormat="1" applyFont="1" applyFill="1" applyBorder="1" applyAlignment="1">
      <alignment horizontal="center"/>
    </xf>
    <xf numFmtId="37" fontId="7" fillId="0" borderId="0" xfId="0" applyNumberFormat="1" applyFont="1" applyAlignment="1">
      <alignment horizontal="right"/>
    </xf>
    <xf numFmtId="3" fontId="7" fillId="0" borderId="0" xfId="11" applyNumberFormat="1" applyFont="1" applyAlignment="1">
      <alignment horizontal="right"/>
    </xf>
    <xf numFmtId="0" fontId="14" fillId="0" borderId="1" xfId="11" applyFont="1" applyBorder="1" applyAlignment="1">
      <alignment horizontal="center"/>
    </xf>
    <xf numFmtId="0" fontId="14" fillId="0" borderId="12" xfId="11" applyFont="1" applyBorder="1" applyAlignment="1">
      <alignment horizontal="center"/>
    </xf>
    <xf numFmtId="177" fontId="14" fillId="2" borderId="12" xfId="11" applyNumberFormat="1" applyFont="1" applyFill="1" applyBorder="1" applyAlignment="1">
      <alignment horizontal="center"/>
    </xf>
    <xf numFmtId="165" fontId="7" fillId="0" borderId="0" xfId="0" applyNumberFormat="1" applyFont="1" applyAlignment="1">
      <alignment horizontal="right"/>
    </xf>
    <xf numFmtId="3" fontId="7" fillId="0" borderId="0" xfId="0" applyNumberFormat="1" applyFont="1"/>
    <xf numFmtId="37" fontId="11" fillId="0" borderId="102" xfId="0" applyNumberFormat="1" applyFont="1" applyBorder="1" applyAlignment="1">
      <alignment horizontal="right"/>
    </xf>
    <xf numFmtId="0" fontId="0" fillId="0" borderId="103" xfId="0" applyBorder="1" applyAlignment="1">
      <alignment horizontal="right"/>
    </xf>
    <xf numFmtId="37" fontId="7" fillId="0" borderId="102" xfId="0" applyNumberFormat="1" applyFont="1" applyBorder="1" applyAlignment="1">
      <alignment horizontal="right"/>
    </xf>
    <xf numFmtId="37" fontId="7" fillId="0" borderId="103" xfId="0" applyNumberFormat="1" applyFont="1" applyBorder="1" applyAlignment="1">
      <alignment horizontal="right"/>
    </xf>
    <xf numFmtId="4" fontId="11" fillId="0" borderId="56" xfId="0" applyNumberFormat="1" applyFont="1" applyBorder="1" applyAlignment="1" applyProtection="1">
      <alignment horizontal="right"/>
      <protection locked="0"/>
    </xf>
    <xf numFmtId="4" fontId="11" fillId="0" borderId="99" xfId="0" applyNumberFormat="1" applyFont="1" applyBorder="1" applyAlignment="1" applyProtection="1">
      <alignment horizontal="right"/>
      <protection locked="0"/>
    </xf>
    <xf numFmtId="37" fontId="11" fillId="0" borderId="36" xfId="0" applyNumberFormat="1" applyFont="1" applyBorder="1" applyAlignment="1" applyProtection="1">
      <alignment horizontal="right"/>
      <protection locked="0"/>
    </xf>
    <xf numFmtId="0" fontId="0" fillId="0" borderId="37" xfId="0" applyBorder="1" applyAlignment="1" applyProtection="1">
      <alignment horizontal="right"/>
      <protection locked="0"/>
    </xf>
    <xf numFmtId="37" fontId="7" fillId="0" borderId="6" xfId="0" applyNumberFormat="1" applyFont="1" applyBorder="1" applyAlignment="1">
      <alignment horizontal="right"/>
    </xf>
    <xf numFmtId="37" fontId="7" fillId="0" borderId="1" xfId="0" applyNumberFormat="1" applyFont="1" applyBorder="1" applyAlignment="1">
      <alignment horizontal="right"/>
    </xf>
    <xf numFmtId="37" fontId="11" fillId="0" borderId="15" xfId="0" applyNumberFormat="1" applyFont="1" applyBorder="1" applyAlignment="1" applyProtection="1">
      <alignment horizontal="right"/>
      <protection locked="0"/>
    </xf>
    <xf numFmtId="0" fontId="0" fillId="0" borderId="39" xfId="0" applyBorder="1" applyAlignment="1" applyProtection="1">
      <alignment horizontal="right"/>
      <protection locked="0"/>
    </xf>
    <xf numFmtId="37" fontId="7" fillId="0" borderId="15" xfId="0" applyNumberFormat="1" applyFont="1" applyBorder="1" applyAlignment="1">
      <alignment horizontal="right"/>
    </xf>
    <xf numFmtId="37" fontId="7" fillId="0" borderId="39" xfId="0" applyNumberFormat="1" applyFont="1" applyBorder="1" applyAlignment="1">
      <alignment horizontal="right"/>
    </xf>
    <xf numFmtId="0" fontId="0" fillId="0" borderId="0" xfId="0"/>
    <xf numFmtId="0" fontId="9" fillId="0" borderId="0" xfId="0" applyFont="1" applyAlignment="1">
      <alignment horizontal="center"/>
    </xf>
    <xf numFmtId="37" fontId="7" fillId="0" borderId="0" xfId="0" quotePrefix="1" applyNumberFormat="1" applyFont="1"/>
    <xf numFmtId="49" fontId="3" fillId="0" borderId="68" xfId="0" applyNumberFormat="1" applyFont="1" applyBorder="1" applyAlignment="1">
      <alignment horizontal="center"/>
    </xf>
    <xf numFmtId="4" fontId="11" fillId="0" borderId="7" xfId="0" applyNumberFormat="1" applyFont="1" applyBorder="1" applyAlignment="1">
      <alignment horizontal="right"/>
    </xf>
    <xf numFmtId="0" fontId="0" fillId="0" borderId="3" xfId="0" applyBorder="1" applyAlignment="1">
      <alignment horizontal="right"/>
    </xf>
    <xf numFmtId="37" fontId="11" fillId="0" borderId="42" xfId="0" applyNumberFormat="1" applyFont="1" applyBorder="1" applyAlignment="1">
      <alignment horizontal="right"/>
    </xf>
    <xf numFmtId="0" fontId="0" fillId="0" borderId="4" xfId="0" applyBorder="1" applyAlignment="1">
      <alignment horizontal="right"/>
    </xf>
    <xf numFmtId="0" fontId="11" fillId="0" borderId="16" xfId="0" applyFont="1" applyBorder="1" applyAlignment="1">
      <alignment horizontal="center"/>
    </xf>
    <xf numFmtId="0" fontId="11" fillId="0" borderId="1" xfId="0" applyFont="1" applyBorder="1" applyAlignment="1">
      <alignment horizontal="center"/>
    </xf>
    <xf numFmtId="0" fontId="21" fillId="0" borderId="7" xfId="0" applyFont="1" applyBorder="1" applyAlignment="1">
      <alignment horizontal="center"/>
    </xf>
    <xf numFmtId="0" fontId="21" fillId="0" borderId="0" xfId="0" applyFont="1" applyAlignment="1">
      <alignment horizontal="center"/>
    </xf>
    <xf numFmtId="0" fontId="21" fillId="0" borderId="9" xfId="0" applyFont="1" applyBorder="1" applyAlignment="1">
      <alignment horizontal="center"/>
    </xf>
    <xf numFmtId="0" fontId="11" fillId="0" borderId="56" xfId="0" applyFont="1" applyBorder="1" applyAlignment="1">
      <alignment horizontal="center"/>
    </xf>
    <xf numFmtId="0" fontId="11" fillId="0" borderId="99" xfId="0" applyFont="1" applyBorder="1" applyAlignment="1">
      <alignment horizontal="center"/>
    </xf>
    <xf numFmtId="4" fontId="11" fillId="0" borderId="15" xfId="0" applyNumberFormat="1" applyFont="1" applyBorder="1" applyAlignment="1" applyProtection="1">
      <alignment horizontal="right"/>
      <protection locked="0"/>
    </xf>
    <xf numFmtId="4" fontId="11" fillId="0" borderId="39" xfId="0" applyNumberFormat="1" applyFont="1" applyBorder="1" applyAlignment="1" applyProtection="1">
      <alignment horizontal="right"/>
      <protection locked="0"/>
    </xf>
    <xf numFmtId="4" fontId="11" fillId="0" borderId="104" xfId="0" applyNumberFormat="1" applyFont="1" applyBorder="1" applyAlignment="1">
      <alignment horizontal="right"/>
    </xf>
    <xf numFmtId="4" fontId="11" fillId="0" borderId="105" xfId="0" applyNumberFormat="1" applyFont="1" applyBorder="1" applyAlignment="1">
      <alignment horizontal="right"/>
    </xf>
    <xf numFmtId="49" fontId="9" fillId="0" borderId="0" xfId="0" applyNumberFormat="1" applyFont="1" applyAlignment="1">
      <alignment horizontal="left"/>
    </xf>
    <xf numFmtId="0" fontId="31" fillId="0" borderId="0" xfId="0" applyFont="1" applyAlignment="1">
      <alignment horizontal="left"/>
    </xf>
    <xf numFmtId="37" fontId="9" fillId="0" borderId="14" xfId="0" applyNumberFormat="1" applyFont="1" applyBorder="1" applyAlignment="1">
      <alignment horizontal="center"/>
    </xf>
    <xf numFmtId="37" fontId="7" fillId="0" borderId="15" xfId="0" applyNumberFormat="1" applyFont="1" applyBorder="1" applyAlignment="1" applyProtection="1">
      <alignment horizontal="right"/>
      <protection locked="0"/>
    </xf>
    <xf numFmtId="37" fontId="7" fillId="0" borderId="39" xfId="0" applyNumberFormat="1" applyFont="1" applyBorder="1" applyAlignment="1" applyProtection="1">
      <alignment horizontal="right"/>
      <protection locked="0"/>
    </xf>
    <xf numFmtId="4" fontId="11" fillId="0" borderId="100" xfId="0" applyNumberFormat="1" applyFont="1" applyBorder="1" applyAlignment="1" applyProtection="1">
      <alignment horizontal="right"/>
      <protection locked="0"/>
    </xf>
    <xf numFmtId="4" fontId="11" fillId="0" borderId="101" xfId="0" applyNumberFormat="1" applyFont="1" applyBorder="1" applyAlignment="1" applyProtection="1">
      <alignment horizontal="right"/>
      <protection locked="0"/>
    </xf>
    <xf numFmtId="4" fontId="11" fillId="0" borderId="102" xfId="0" applyNumberFormat="1" applyFont="1" applyBorder="1" applyAlignment="1">
      <alignment horizontal="right"/>
    </xf>
    <xf numFmtId="4" fontId="11" fillId="0" borderId="103" xfId="0" applyNumberFormat="1" applyFont="1" applyBorder="1" applyAlignment="1">
      <alignment horizontal="right"/>
    </xf>
    <xf numFmtId="0" fontId="9" fillId="0" borderId="14" xfId="0" applyFont="1" applyBorder="1" applyAlignment="1">
      <alignment horizontal="center"/>
    </xf>
    <xf numFmtId="4" fontId="11" fillId="0" borderId="3" xfId="0" applyNumberFormat="1" applyFont="1" applyBorder="1" applyAlignment="1" applyProtection="1">
      <alignment horizontal="right"/>
      <protection locked="0"/>
    </xf>
    <xf numFmtId="4" fontId="11" fillId="0" borderId="4" xfId="0" applyNumberFormat="1" applyFont="1" applyBorder="1" applyAlignment="1" applyProtection="1">
      <alignment horizontal="right"/>
      <protection locked="0"/>
    </xf>
    <xf numFmtId="37" fontId="11" fillId="2" borderId="14" xfId="13" applyNumberFormat="1" applyFont="1" applyBorder="1" applyAlignment="1">
      <alignment horizontal="left"/>
    </xf>
    <xf numFmtId="37" fontId="11" fillId="2" borderId="0" xfId="13" applyNumberFormat="1" applyFont="1"/>
    <xf numFmtId="37" fontId="9" fillId="0" borderId="0" xfId="13" applyNumberFormat="1" applyFont="1" applyFill="1" applyAlignment="1">
      <alignment horizontal="center" vertical="top" wrapText="1"/>
    </xf>
    <xf numFmtId="0" fontId="0" fillId="0" borderId="0" xfId="0" applyAlignment="1">
      <alignment horizontal="center" wrapText="1"/>
    </xf>
    <xf numFmtId="37" fontId="65" fillId="0" borderId="0" xfId="13" applyNumberFormat="1" applyFont="1" applyFill="1" applyAlignment="1">
      <alignment horizontal="left" wrapText="1"/>
    </xf>
    <xf numFmtId="0" fontId="100" fillId="0" borderId="0" xfId="0" applyFont="1" applyAlignment="1">
      <alignment wrapText="1"/>
    </xf>
    <xf numFmtId="0" fontId="65" fillId="0" borderId="0" xfId="13" applyFont="1" applyFill="1" applyAlignment="1">
      <alignment horizontal="left" vertical="top" wrapText="1"/>
    </xf>
    <xf numFmtId="37" fontId="11" fillId="2" borderId="0" xfId="13" applyNumberFormat="1" applyFont="1" applyAlignment="1">
      <alignment horizontal="left" vertical="center" wrapText="1"/>
    </xf>
    <xf numFmtId="0" fontId="7" fillId="0" borderId="0" xfId="13" applyFont="1" applyFill="1" applyAlignment="1">
      <alignment horizontal="left" vertical="top" wrapText="1"/>
    </xf>
    <xf numFmtId="37" fontId="11" fillId="0" borderId="0" xfId="13" applyNumberFormat="1" applyFont="1" applyFill="1" applyAlignment="1">
      <alignment horizontal="left" vertical="top" wrapText="1"/>
    </xf>
    <xf numFmtId="37" fontId="7" fillId="0" borderId="14" xfId="0" applyNumberFormat="1" applyFont="1" applyBorder="1"/>
    <xf numFmtId="37" fontId="7" fillId="0" borderId="46" xfId="0" applyNumberFormat="1" applyFont="1" applyBorder="1"/>
    <xf numFmtId="37" fontId="11" fillId="0" borderId="16" xfId="13" quotePrefix="1" applyNumberFormat="1" applyFont="1" applyFill="1" applyBorder="1"/>
    <xf numFmtId="37" fontId="11" fillId="0" borderId="14" xfId="13" quotePrefix="1" applyNumberFormat="1" applyFont="1" applyFill="1" applyBorder="1"/>
    <xf numFmtId="37" fontId="11" fillId="0" borderId="0" xfId="13" applyNumberFormat="1" applyFont="1" applyFill="1" applyAlignment="1">
      <alignment horizontal="left" vertical="top"/>
    </xf>
    <xf numFmtId="37" fontId="65" fillId="0" borderId="0" xfId="13" applyNumberFormat="1" applyFont="1" applyFill="1" applyAlignment="1">
      <alignment horizontal="left" vertical="top" wrapText="1"/>
    </xf>
    <xf numFmtId="0" fontId="24" fillId="0" borderId="0" xfId="0" applyFont="1"/>
    <xf numFmtId="0" fontId="7" fillId="0" borderId="23" xfId="21" applyFont="1" applyFill="1" applyBorder="1" applyAlignment="1" applyProtection="1">
      <alignment horizontal="left" vertical="top"/>
      <protection locked="0"/>
    </xf>
    <xf numFmtId="37" fontId="11" fillId="0" borderId="0" xfId="13" applyNumberFormat="1" applyFont="1" applyFill="1"/>
    <xf numFmtId="0" fontId="0" fillId="0" borderId="46" xfId="0" applyBorder="1"/>
    <xf numFmtId="0" fontId="11" fillId="0" borderId="0" xfId="13" applyFont="1" applyFill="1" applyAlignment="1">
      <alignment horizontal="left" vertical="top" wrapText="1"/>
    </xf>
    <xf numFmtId="0" fontId="99" fillId="0" borderId="0" xfId="13" applyFont="1" applyFill="1" applyAlignment="1">
      <alignment horizontal="left" wrapText="1"/>
    </xf>
    <xf numFmtId="37" fontId="7" fillId="0" borderId="0" xfId="13" applyNumberFormat="1" applyFont="1" applyFill="1" applyAlignment="1">
      <alignment horizontal="left" wrapText="1"/>
    </xf>
    <xf numFmtId="0" fontId="7" fillId="0" borderId="23" xfId="21" applyFont="1" applyFill="1" applyBorder="1" applyAlignment="1" applyProtection="1">
      <alignment horizontal="left" vertical="top" wrapText="1"/>
      <protection locked="0"/>
    </xf>
    <xf numFmtId="0" fontId="99" fillId="0" borderId="0" xfId="13" applyFont="1" applyFill="1" applyAlignment="1">
      <alignment horizontal="center" wrapText="1"/>
    </xf>
    <xf numFmtId="0" fontId="99" fillId="2" borderId="0" xfId="13" applyFont="1" applyAlignment="1">
      <alignment horizontal="center" vertical="center" wrapText="1"/>
    </xf>
    <xf numFmtId="37" fontId="7" fillId="2" borderId="0" xfId="13" applyNumberFormat="1" applyFont="1"/>
    <xf numFmtId="49" fontId="23" fillId="0" borderId="0" xfId="13" applyNumberFormat="1" applyFont="1" applyFill="1" applyAlignment="1">
      <alignment horizontal="left"/>
    </xf>
    <xf numFmtId="49" fontId="3" fillId="0" borderId="0" xfId="0" quotePrefix="1" applyNumberFormat="1" applyFont="1" applyAlignment="1">
      <alignment horizontal="left"/>
    </xf>
    <xf numFmtId="49" fontId="3" fillId="0" borderId="0" xfId="13" applyNumberFormat="1" applyFont="1" applyFill="1" applyAlignment="1">
      <alignment horizontal="left"/>
    </xf>
    <xf numFmtId="37" fontId="3" fillId="0" borderId="18" xfId="0" applyNumberFormat="1" applyFont="1" applyBorder="1" applyAlignment="1">
      <alignment horizontal="right"/>
    </xf>
    <xf numFmtId="0" fontId="1" fillId="0" borderId="23" xfId="0" applyFont="1" applyBorder="1" applyAlignment="1">
      <alignment horizontal="right"/>
    </xf>
    <xf numFmtId="0" fontId="7" fillId="0" borderId="0" xfId="13" applyFont="1" applyFill="1" applyAlignment="1">
      <alignment wrapText="1"/>
    </xf>
    <xf numFmtId="0" fontId="7" fillId="0" borderId="0" xfId="0" applyFont="1" applyAlignment="1">
      <alignment wrapText="1"/>
    </xf>
    <xf numFmtId="0" fontId="3" fillId="0" borderId="0" xfId="13" applyFont="1" applyFill="1" applyAlignment="1">
      <alignment vertical="top" wrapText="1"/>
    </xf>
    <xf numFmtId="0" fontId="0" fillId="0" borderId="0" xfId="0" applyAlignment="1">
      <alignment vertical="top" wrapText="1"/>
    </xf>
    <xf numFmtId="0" fontId="3" fillId="0" borderId="0" xfId="0" applyFont="1" applyAlignment="1">
      <alignment vertical="top" wrapText="1"/>
    </xf>
    <xf numFmtId="0" fontId="0" fillId="0" borderId="0" xfId="0" applyAlignment="1">
      <alignment wrapText="1"/>
    </xf>
    <xf numFmtId="0" fontId="8" fillId="0" borderId="0" xfId="13" applyFont="1" applyFill="1" applyAlignment="1">
      <alignment horizontal="center" wrapText="1"/>
    </xf>
    <xf numFmtId="0" fontId="1" fillId="0" borderId="0" xfId="0" applyFont="1" applyAlignment="1">
      <alignment horizontal="center" wrapText="1"/>
    </xf>
    <xf numFmtId="37" fontId="3" fillId="0" borderId="0" xfId="0" applyNumberFormat="1" applyFont="1" applyAlignment="1">
      <alignment horizontal="right"/>
    </xf>
    <xf numFmtId="37" fontId="3" fillId="0" borderId="23" xfId="0" applyNumberFormat="1" applyFont="1" applyBorder="1" applyAlignment="1">
      <alignment horizontal="right"/>
    </xf>
    <xf numFmtId="0" fontId="3" fillId="0" borderId="0" xfId="0" applyFont="1" applyAlignment="1">
      <alignment horizontal="left"/>
    </xf>
    <xf numFmtId="49" fontId="3" fillId="0" borderId="0" xfId="0" applyNumberFormat="1" applyFont="1" applyAlignment="1">
      <alignment horizontal="left"/>
    </xf>
    <xf numFmtId="49" fontId="3" fillId="0" borderId="0" xfId="8" applyNumberFormat="1" applyFont="1" applyAlignment="1" applyProtection="1">
      <alignment horizontal="left"/>
    </xf>
    <xf numFmtId="0" fontId="3" fillId="0" borderId="23" xfId="13" applyFont="1" applyFill="1" applyBorder="1" applyAlignment="1" applyProtection="1">
      <alignment horizontal="left"/>
      <protection locked="0"/>
    </xf>
    <xf numFmtId="0" fontId="3" fillId="2" borderId="0" xfId="13" applyFont="1" applyAlignment="1">
      <alignment horizontal="left" wrapText="1"/>
    </xf>
    <xf numFmtId="0" fontId="9" fillId="0" borderId="6" xfId="0" applyFont="1" applyBorder="1"/>
    <xf numFmtId="0" fontId="9" fillId="0" borderId="16" xfId="0" applyFont="1" applyBorder="1"/>
    <xf numFmtId="3" fontId="7" fillId="10" borderId="12" xfId="0" applyNumberFormat="1" applyFont="1" applyFill="1" applyBorder="1" applyAlignment="1">
      <alignment horizontal="right"/>
    </xf>
    <xf numFmtId="3" fontId="0" fillId="9" borderId="17" xfId="0" applyNumberFormat="1" applyFill="1" applyBorder="1" applyAlignment="1">
      <alignment horizontal="right"/>
    </xf>
    <xf numFmtId="0" fontId="7" fillId="0" borderId="17" xfId="0" applyFont="1" applyBorder="1" applyAlignment="1">
      <alignment horizontal="right"/>
    </xf>
    <xf numFmtId="165" fontId="7" fillId="0" borderId="12" xfId="0" applyNumberFormat="1" applyFont="1" applyBorder="1"/>
    <xf numFmtId="165" fontId="0" fillId="0" borderId="17" xfId="0" applyNumberFormat="1" applyBorder="1"/>
    <xf numFmtId="0" fontId="8" fillId="0" borderId="14" xfId="0" applyFont="1" applyBorder="1" applyAlignment="1">
      <alignment horizontal="center" vertical="center" wrapText="1"/>
    </xf>
    <xf numFmtId="0" fontId="8" fillId="0" borderId="14" xfId="0" applyFont="1" applyBorder="1" applyAlignment="1">
      <alignment horizontal="center" vertical="center"/>
    </xf>
    <xf numFmtId="0" fontId="7" fillId="0" borderId="17" xfId="0" applyFont="1" applyBorder="1"/>
    <xf numFmtId="0" fontId="8" fillId="0" borderId="7" xfId="0" applyFont="1" applyBorder="1"/>
    <xf numFmtId="0" fontId="8" fillId="0" borderId="0" xfId="0" applyFont="1"/>
    <xf numFmtId="165" fontId="13" fillId="2" borderId="12" xfId="14" applyNumberFormat="1" applyFont="1" applyBorder="1" applyAlignment="1">
      <alignment horizontal="right"/>
    </xf>
    <xf numFmtId="165" fontId="13" fillId="2" borderId="17" xfId="14" applyNumberFormat="1" applyFont="1" applyBorder="1" applyAlignment="1">
      <alignment horizontal="right"/>
    </xf>
    <xf numFmtId="37" fontId="13" fillId="2" borderId="12" xfId="14" applyNumberFormat="1" applyFont="1" applyBorder="1"/>
    <xf numFmtId="37" fontId="13" fillId="2" borderId="17" xfId="14" applyNumberFormat="1" applyFont="1" applyBorder="1"/>
    <xf numFmtId="37" fontId="5" fillId="0" borderId="12" xfId="14" applyNumberFormat="1" applyFont="1" applyFill="1" applyBorder="1"/>
    <xf numFmtId="37" fontId="5" fillId="0" borderId="17" xfId="14" applyNumberFormat="1" applyFont="1" applyFill="1" applyBorder="1"/>
    <xf numFmtId="37" fontId="13" fillId="0" borderId="12" xfId="14" applyNumberFormat="1" applyFont="1" applyFill="1" applyBorder="1"/>
    <xf numFmtId="171" fontId="13" fillId="2" borderId="33" xfId="14" applyNumberFormat="1" applyFont="1" applyBorder="1" applyAlignment="1">
      <alignment horizontal="right"/>
    </xf>
    <xf numFmtId="37" fontId="12" fillId="2" borderId="18" xfId="14" applyNumberFormat="1" applyFont="1" applyBorder="1" applyAlignment="1">
      <alignment horizontal="center"/>
    </xf>
    <xf numFmtId="184" fontId="19" fillId="2" borderId="27" xfId="14" applyNumberFormat="1" applyBorder="1" applyAlignment="1">
      <alignment horizontal="right"/>
    </xf>
    <xf numFmtId="184" fontId="19" fillId="2" borderId="25" xfId="14" applyNumberFormat="1" applyBorder="1" applyAlignment="1">
      <alignment horizontal="right"/>
    </xf>
    <xf numFmtId="184" fontId="19" fillId="2" borderId="52" xfId="14" applyNumberFormat="1" applyBorder="1" applyAlignment="1">
      <alignment horizontal="right"/>
    </xf>
    <xf numFmtId="0" fontId="5" fillId="2" borderId="26" xfId="14" applyFont="1" applyBorder="1" applyAlignment="1">
      <alignment horizontal="left" vertical="top" wrapText="1"/>
    </xf>
    <xf numFmtId="0" fontId="5" fillId="2" borderId="18" xfId="14" applyFont="1" applyBorder="1" applyAlignment="1">
      <alignment horizontal="left" vertical="top" wrapText="1"/>
    </xf>
    <xf numFmtId="0" fontId="5" fillId="2" borderId="50" xfId="14" applyFont="1" applyBorder="1" applyAlignment="1">
      <alignment horizontal="left" vertical="top" wrapText="1"/>
    </xf>
    <xf numFmtId="0" fontId="5" fillId="2" borderId="2" xfId="14" applyFont="1" applyBorder="1" applyAlignment="1">
      <alignment horizontal="left" vertical="top" wrapText="1"/>
    </xf>
    <xf numFmtId="0" fontId="5" fillId="2" borderId="0" xfId="14" applyFont="1" applyAlignment="1">
      <alignment horizontal="left" vertical="top" wrapText="1"/>
    </xf>
    <xf numFmtId="0" fontId="5" fillId="2" borderId="28" xfId="14" applyFont="1" applyBorder="1" applyAlignment="1">
      <alignment horizontal="left" vertical="top" wrapText="1"/>
    </xf>
    <xf numFmtId="0" fontId="5" fillId="2" borderId="10" xfId="14" applyFont="1" applyBorder="1" applyAlignment="1">
      <alignment horizontal="left" vertical="top" wrapText="1"/>
    </xf>
    <xf numFmtId="0" fontId="5" fillId="2" borderId="23" xfId="14" applyFont="1" applyBorder="1" applyAlignment="1">
      <alignment horizontal="left" vertical="top" wrapText="1"/>
    </xf>
    <xf numFmtId="0" fontId="5" fillId="2" borderId="11" xfId="14" applyFont="1" applyBorder="1" applyAlignment="1">
      <alignment horizontal="left" vertical="top" wrapText="1"/>
    </xf>
    <xf numFmtId="0" fontId="84" fillId="0" borderId="0" xfId="13" applyFont="1" applyFill="1" applyAlignment="1">
      <alignment horizontal="center" wrapText="1"/>
    </xf>
    <xf numFmtId="37" fontId="12" fillId="2" borderId="26" xfId="14" applyNumberFormat="1" applyFont="1" applyBorder="1" applyAlignment="1">
      <alignment horizontal="center"/>
    </xf>
    <xf numFmtId="37" fontId="12" fillId="2" borderId="50" xfId="14" applyNumberFormat="1" applyFont="1" applyBorder="1" applyAlignment="1">
      <alignment horizontal="center"/>
    </xf>
    <xf numFmtId="0" fontId="14" fillId="2" borderId="18" xfId="13" applyFont="1" applyBorder="1" applyAlignment="1">
      <alignment horizontal="center" wrapText="1"/>
    </xf>
    <xf numFmtId="0" fontId="14" fillId="2" borderId="14" xfId="13" applyFont="1" applyBorder="1" applyAlignment="1">
      <alignment horizontal="center" wrapText="1"/>
    </xf>
    <xf numFmtId="0" fontId="14" fillId="0" borderId="23" xfId="0" applyFont="1" applyBorder="1" applyAlignment="1" applyProtection="1">
      <alignment horizontal="center"/>
      <protection locked="0"/>
    </xf>
    <xf numFmtId="0" fontId="0" fillId="0" borderId="23" xfId="0" applyBorder="1" applyAlignment="1" applyProtection="1">
      <alignment horizontal="center"/>
      <protection locked="0"/>
    </xf>
    <xf numFmtId="37" fontId="12" fillId="2" borderId="2" xfId="14" applyNumberFormat="1" applyFont="1" applyBorder="1" applyAlignment="1">
      <alignment horizontal="left" wrapText="1"/>
    </xf>
    <xf numFmtId="37" fontId="12" fillId="2" borderId="0" xfId="14" applyNumberFormat="1" applyFont="1" applyAlignment="1">
      <alignment horizontal="left" wrapText="1"/>
    </xf>
    <xf numFmtId="37" fontId="12" fillId="2" borderId="10" xfId="14" applyNumberFormat="1" applyFont="1" applyBorder="1" applyAlignment="1">
      <alignment horizontal="left" wrapText="1"/>
    </xf>
    <xf numFmtId="37" fontId="12" fillId="2" borderId="23" xfId="14" applyNumberFormat="1" applyFont="1" applyBorder="1" applyAlignment="1">
      <alignment horizontal="left" wrapText="1"/>
    </xf>
    <xf numFmtId="37" fontId="12" fillId="2" borderId="2" xfId="14" applyNumberFormat="1" applyFont="1" applyBorder="1" applyAlignment="1">
      <alignment horizontal="left"/>
    </xf>
    <xf numFmtId="37" fontId="12" fillId="2" borderId="9" xfId="14" applyNumberFormat="1" applyFont="1" applyBorder="1" applyAlignment="1">
      <alignment horizontal="left"/>
    </xf>
    <xf numFmtId="37" fontId="12" fillId="2" borderId="28" xfId="14" applyNumberFormat="1" applyFont="1" applyBorder="1" applyAlignment="1">
      <alignment horizontal="left"/>
    </xf>
    <xf numFmtId="37" fontId="12" fillId="2" borderId="10" xfId="14" applyNumberFormat="1" applyFont="1" applyBorder="1" applyAlignment="1">
      <alignment horizontal="left"/>
    </xf>
    <xf numFmtId="37" fontId="12" fillId="2" borderId="11" xfId="14" applyNumberFormat="1" applyFont="1" applyBorder="1" applyAlignment="1">
      <alignment horizontal="left"/>
    </xf>
    <xf numFmtId="37" fontId="12" fillId="2" borderId="65" xfId="14" applyNumberFormat="1" applyFont="1" applyBorder="1" applyAlignment="1">
      <alignment horizontal="center" vertical="center"/>
    </xf>
    <xf numFmtId="37" fontId="12" fillId="2" borderId="34" xfId="14" applyNumberFormat="1" applyFont="1" applyBorder="1" applyAlignment="1">
      <alignment horizontal="center" vertical="center"/>
    </xf>
    <xf numFmtId="37" fontId="12" fillId="2" borderId="2" xfId="14" applyNumberFormat="1" applyFont="1" applyBorder="1" applyAlignment="1">
      <alignment horizontal="left" vertical="center" wrapText="1"/>
    </xf>
    <xf numFmtId="37" fontId="12" fillId="2" borderId="0" xfId="14" applyNumberFormat="1" applyFont="1" applyAlignment="1">
      <alignment horizontal="left" vertical="center" wrapText="1"/>
    </xf>
    <xf numFmtId="171" fontId="13" fillId="2" borderId="27" xfId="14" applyNumberFormat="1" applyFont="1" applyBorder="1" applyAlignment="1">
      <alignment horizontal="right"/>
    </xf>
    <xf numFmtId="171" fontId="13" fillId="2" borderId="25" xfId="14" applyNumberFormat="1" applyFont="1" applyBorder="1" applyAlignment="1">
      <alignment horizontal="right"/>
    </xf>
    <xf numFmtId="171" fontId="13" fillId="2" borderId="52" xfId="14" applyNumberFormat="1" applyFont="1" applyBorder="1" applyAlignment="1">
      <alignment horizontal="right"/>
    </xf>
    <xf numFmtId="0" fontId="14" fillId="0" borderId="0" xfId="14" applyFont="1" applyFill="1" applyAlignment="1">
      <alignment horizontal="left"/>
    </xf>
    <xf numFmtId="0" fontId="14" fillId="0" borderId="23" xfId="14" applyFont="1" applyFill="1" applyBorder="1" applyAlignment="1" applyProtection="1">
      <alignment horizontal="center"/>
      <protection locked="0"/>
    </xf>
    <xf numFmtId="0" fontId="14" fillId="0" borderId="0" xfId="0" applyFont="1"/>
    <xf numFmtId="0" fontId="5" fillId="2" borderId="23" xfId="14" applyFont="1" applyBorder="1" applyAlignment="1" applyProtection="1">
      <alignment horizontal="center"/>
      <protection locked="0"/>
    </xf>
    <xf numFmtId="0" fontId="84" fillId="2" borderId="0" xfId="14" applyFont="1" applyAlignment="1">
      <alignment horizontal="center" wrapText="1"/>
    </xf>
    <xf numFmtId="0" fontId="14" fillId="0" borderId="0" xfId="0" applyFont="1" applyAlignment="1">
      <alignment horizontal="center"/>
    </xf>
    <xf numFmtId="0" fontId="0" fillId="0" borderId="0" xfId="0" applyAlignment="1">
      <alignment horizontal="center"/>
    </xf>
    <xf numFmtId="0" fontId="5" fillId="0" borderId="0" xfId="15" applyFont="1" applyFill="1" applyAlignment="1">
      <alignment horizontal="left" wrapText="1"/>
    </xf>
    <xf numFmtId="0" fontId="5" fillId="0" borderId="23" xfId="15" applyFont="1" applyFill="1" applyBorder="1" applyAlignment="1">
      <alignment horizontal="left" wrapText="1"/>
    </xf>
    <xf numFmtId="49" fontId="5" fillId="2" borderId="23" xfId="15" applyNumberFormat="1" applyFont="1" applyBorder="1" applyAlignment="1">
      <alignment horizontal="center"/>
    </xf>
    <xf numFmtId="0" fontId="5" fillId="2" borderId="23" xfId="14" applyFont="1" applyBorder="1" applyAlignment="1">
      <alignment horizontal="center"/>
    </xf>
    <xf numFmtId="37" fontId="12" fillId="2" borderId="0" xfId="15" applyNumberFormat="1" applyFont="1" applyAlignment="1">
      <alignment horizontal="left" vertical="top"/>
    </xf>
    <xf numFmtId="37" fontId="13" fillId="0" borderId="22" xfId="15" applyNumberFormat="1" applyFont="1" applyFill="1" applyBorder="1" applyAlignment="1">
      <alignment horizontal="center"/>
    </xf>
    <xf numFmtId="0" fontId="0" fillId="0" borderId="22" xfId="0" applyBorder="1" applyAlignment="1">
      <alignment horizontal="center"/>
    </xf>
    <xf numFmtId="37" fontId="12" fillId="2" borderId="15" xfId="15" applyNumberFormat="1" applyFont="1" applyBorder="1" applyAlignment="1">
      <alignment horizontal="center"/>
    </xf>
    <xf numFmtId="0" fontId="0" fillId="0" borderId="39" xfId="0" applyBorder="1"/>
    <xf numFmtId="0" fontId="101" fillId="0" borderId="0" xfId="15" applyFont="1" applyFill="1" applyAlignment="1">
      <alignment horizontal="center" vertical="center" wrapText="1"/>
    </xf>
    <xf numFmtId="0" fontId="14" fillId="2" borderId="15" xfId="15" applyFont="1" applyBorder="1" applyAlignment="1">
      <alignment horizontal="center"/>
    </xf>
    <xf numFmtId="0" fontId="14" fillId="2" borderId="8" xfId="15" applyFont="1" applyBorder="1" applyAlignment="1">
      <alignment horizontal="center"/>
    </xf>
    <xf numFmtId="37" fontId="12" fillId="2" borderId="39" xfId="15" applyNumberFormat="1" applyFont="1" applyBorder="1" applyAlignment="1">
      <alignment horizontal="center"/>
    </xf>
    <xf numFmtId="37" fontId="12" fillId="2" borderId="106" xfId="15" applyNumberFormat="1" applyFont="1" applyBorder="1" applyAlignment="1">
      <alignment horizontal="center"/>
    </xf>
    <xf numFmtId="37" fontId="12" fillId="2" borderId="51" xfId="15" applyNumberFormat="1" applyFont="1" applyBorder="1" applyAlignment="1">
      <alignment horizontal="center"/>
    </xf>
    <xf numFmtId="37" fontId="12" fillId="2" borderId="58" xfId="15" applyNumberFormat="1" applyFont="1" applyBorder="1" applyAlignment="1">
      <alignment horizontal="center"/>
    </xf>
    <xf numFmtId="37" fontId="12" fillId="2" borderId="22" xfId="15" applyNumberFormat="1" applyFont="1" applyBorder="1" applyAlignment="1">
      <alignment horizontal="center"/>
    </xf>
    <xf numFmtId="37" fontId="12" fillId="2" borderId="45" xfId="15" applyNumberFormat="1" applyFont="1" applyBorder="1" applyAlignment="1">
      <alignment horizontal="center"/>
    </xf>
    <xf numFmtId="0" fontId="14" fillId="0" borderId="15" xfId="0" applyFont="1" applyBorder="1" applyAlignment="1">
      <alignment horizontal="center"/>
    </xf>
    <xf numFmtId="0" fontId="14" fillId="0" borderId="8" xfId="0" applyFont="1" applyBorder="1" applyAlignment="1">
      <alignment horizontal="center"/>
    </xf>
    <xf numFmtId="0" fontId="14" fillId="0" borderId="39" xfId="0" applyFont="1" applyBorder="1" applyAlignment="1">
      <alignment horizontal="center"/>
    </xf>
    <xf numFmtId="37" fontId="12" fillId="2" borderId="2" xfId="15" applyNumberFormat="1" applyFont="1" applyBorder="1" applyAlignment="1">
      <alignment horizontal="center"/>
    </xf>
    <xf numFmtId="37" fontId="12" fillId="2" borderId="9" xfId="15" applyNumberFormat="1" applyFont="1" applyBorder="1" applyAlignment="1">
      <alignment horizontal="center"/>
    </xf>
    <xf numFmtId="0" fontId="108" fillId="2" borderId="0" xfId="14" applyFont="1" applyAlignment="1">
      <alignment horizontal="left" vertical="top" wrapText="1"/>
    </xf>
    <xf numFmtId="0" fontId="7" fillId="0" borderId="0" xfId="0" applyFont="1" applyAlignment="1">
      <alignment horizontal="justify" vertical="top" wrapText="1"/>
    </xf>
    <xf numFmtId="0" fontId="0" fillId="0" borderId="0" xfId="0" applyAlignment="1">
      <alignment horizontal="justify" vertical="top" wrapText="1"/>
    </xf>
    <xf numFmtId="0" fontId="9" fillId="0" borderId="0" xfId="0" applyFont="1" applyAlignment="1">
      <alignment horizontal="center" wrapText="1"/>
    </xf>
    <xf numFmtId="0" fontId="7" fillId="0" borderId="0" xfId="0" applyFont="1" applyAlignment="1">
      <alignment vertical="top" wrapText="1"/>
    </xf>
    <xf numFmtId="37" fontId="7" fillId="0" borderId="107" xfId="4" applyNumberFormat="1" applyFont="1" applyBorder="1" applyAlignment="1" applyProtection="1">
      <alignment horizontal="right"/>
    </xf>
    <xf numFmtId="37" fontId="7" fillId="0" borderId="46" xfId="4" applyNumberFormat="1" applyFont="1" applyBorder="1" applyAlignment="1" applyProtection="1">
      <alignment horizontal="right"/>
    </xf>
    <xf numFmtId="0" fontId="7" fillId="0" borderId="0" xfId="0" applyFont="1" applyAlignment="1">
      <alignment horizontal="left" wrapText="1"/>
    </xf>
    <xf numFmtId="0" fontId="7" fillId="0" borderId="0" xfId="0" applyFont="1" applyAlignment="1">
      <alignment horizontal="left" vertical="top"/>
    </xf>
    <xf numFmtId="0" fontId="44" fillId="0" borderId="0" xfId="8" applyFont="1" applyAlignment="1" applyProtection="1">
      <alignment horizontal="left" vertical="top" wrapText="1"/>
    </xf>
    <xf numFmtId="37" fontId="3" fillId="0" borderId="23" xfId="0" applyNumberFormat="1" applyFont="1" applyBorder="1" applyAlignment="1">
      <alignment horizontal="left"/>
    </xf>
    <xf numFmtId="0" fontId="3" fillId="0" borderId="0" xfId="0" applyFont="1" applyAlignment="1">
      <alignment horizontal="right"/>
    </xf>
    <xf numFmtId="0" fontId="9" fillId="0" borderId="0" xfId="0" applyFont="1" applyAlignment="1">
      <alignment horizontal="right"/>
    </xf>
    <xf numFmtId="49" fontId="9" fillId="0" borderId="23" xfId="0" applyNumberFormat="1" applyFont="1" applyBorder="1" applyAlignment="1">
      <alignment horizontal="left"/>
    </xf>
    <xf numFmtId="0" fontId="9" fillId="0" borderId="23" xfId="0" applyFont="1" applyBorder="1" applyAlignment="1">
      <alignment horizontal="left"/>
    </xf>
    <xf numFmtId="0" fontId="7" fillId="0" borderId="58" xfId="0" applyFont="1" applyBorder="1" applyAlignment="1">
      <alignment horizontal="left" vertical="top"/>
    </xf>
    <xf numFmtId="0" fontId="7" fillId="0" borderId="22" xfId="0" applyFont="1" applyBorder="1" applyAlignment="1">
      <alignment horizontal="left" vertical="top"/>
    </xf>
    <xf numFmtId="0" fontId="7" fillId="0" borderId="88" xfId="0" applyFont="1" applyBorder="1" applyAlignment="1">
      <alignment horizontal="left"/>
    </xf>
    <xf numFmtId="0" fontId="104" fillId="0" borderId="2" xfId="0" applyFont="1" applyBorder="1" applyAlignment="1">
      <alignment horizontal="left" vertical="top"/>
    </xf>
    <xf numFmtId="0" fontId="104" fillId="0" borderId="0" xfId="0" applyFont="1" applyBorder="1" applyAlignment="1">
      <alignment horizontal="left" vertical="top"/>
    </xf>
    <xf numFmtId="0" fontId="104" fillId="0" borderId="88" xfId="0" applyFont="1" applyBorder="1" applyAlignment="1">
      <alignment horizontal="center" vertical="center" wrapText="1"/>
    </xf>
    <xf numFmtId="0" fontId="104" fillId="0" borderId="0" xfId="0" applyFont="1" applyBorder="1" applyAlignment="1">
      <alignment horizontal="center" vertical="center" wrapText="1"/>
    </xf>
    <xf numFmtId="0" fontId="7" fillId="0" borderId="0" xfId="0" applyFont="1" applyAlignment="1">
      <alignment horizontal="right" wrapText="1"/>
    </xf>
    <xf numFmtId="0" fontId="7" fillId="0" borderId="28" xfId="0" applyFont="1" applyBorder="1" applyAlignment="1">
      <alignment horizontal="right" wrapText="1"/>
    </xf>
    <xf numFmtId="0" fontId="65" fillId="5" borderId="0" xfId="0" applyFont="1" applyFill="1" applyAlignment="1">
      <alignment horizontal="left" wrapText="1"/>
    </xf>
    <xf numFmtId="0" fontId="65" fillId="5" borderId="0" xfId="0" applyFont="1" applyFill="1" applyAlignment="1">
      <alignment horizontal="left"/>
    </xf>
    <xf numFmtId="0" fontId="65" fillId="5" borderId="60" xfId="0" applyFont="1" applyFill="1" applyBorder="1" applyAlignment="1">
      <alignment horizontal="left"/>
    </xf>
    <xf numFmtId="0" fontId="7" fillId="0" borderId="23" xfId="0" applyFont="1" applyBorder="1" applyAlignment="1">
      <alignment horizontal="left" vertical="center" wrapText="1"/>
    </xf>
    <xf numFmtId="0" fontId="7" fillId="0" borderId="58" xfId="0" applyFont="1" applyBorder="1" applyAlignment="1">
      <alignment horizontal="left" wrapText="1"/>
    </xf>
    <xf numFmtId="0" fontId="7" fillId="0" borderId="22" xfId="0" applyFont="1" applyBorder="1" applyAlignment="1">
      <alignment horizontal="left" wrapText="1"/>
    </xf>
    <xf numFmtId="0" fontId="102" fillId="0" borderId="2" xfId="13" applyFont="1" applyFill="1" applyBorder="1" applyAlignment="1">
      <alignment horizontal="left" vertical="top" wrapText="1"/>
    </xf>
    <xf numFmtId="0" fontId="102" fillId="0" borderId="0" xfId="13" applyFont="1" applyFill="1" applyAlignment="1">
      <alignment horizontal="left" vertical="top" wrapText="1"/>
    </xf>
    <xf numFmtId="0" fontId="7" fillId="6" borderId="58" xfId="0" applyFont="1" applyFill="1" applyBorder="1" applyAlignment="1">
      <alignment horizontal="left" vertical="top" wrapText="1"/>
    </xf>
    <xf numFmtId="0" fontId="7" fillId="6" borderId="22" xfId="0" applyFont="1" applyFill="1" applyBorder="1" applyAlignment="1">
      <alignment horizontal="left" vertical="top" wrapText="1"/>
    </xf>
    <xf numFmtId="0" fontId="44" fillId="4" borderId="0" xfId="8" applyFont="1" applyFill="1" applyProtection="1"/>
    <xf numFmtId="0" fontId="86" fillId="0" borderId="2" xfId="0" applyFont="1" applyBorder="1" applyAlignment="1">
      <alignment horizontal="center" vertical="center" wrapText="1"/>
    </xf>
    <xf numFmtId="0" fontId="86" fillId="0" borderId="0" xfId="0" applyFont="1" applyAlignment="1">
      <alignment horizontal="center" vertical="center" wrapText="1"/>
    </xf>
    <xf numFmtId="0" fontId="7" fillId="0" borderId="58" xfId="0" applyFont="1" applyBorder="1" applyAlignment="1">
      <alignment horizontal="left" vertical="top" wrapText="1"/>
    </xf>
    <xf numFmtId="0" fontId="7" fillId="0" borderId="22" xfId="0" applyFont="1" applyBorder="1" applyAlignment="1">
      <alignment horizontal="left" vertical="top" wrapText="1"/>
    </xf>
    <xf numFmtId="0" fontId="103" fillId="0" borderId="0" xfId="0" applyFont="1" applyAlignment="1">
      <alignment horizontal="center" vertical="center" wrapText="1"/>
    </xf>
    <xf numFmtId="0" fontId="7" fillId="6" borderId="0" xfId="0" applyFont="1" applyFill="1" applyAlignment="1">
      <alignment horizontal="left" vertical="top" wrapText="1"/>
    </xf>
    <xf numFmtId="0" fontId="7" fillId="6" borderId="23" xfId="0" applyFont="1" applyFill="1" applyBorder="1" applyAlignment="1">
      <alignment horizontal="left" vertical="top" wrapText="1"/>
    </xf>
    <xf numFmtId="0" fontId="7" fillId="0" borderId="0" xfId="21" applyFont="1" applyFill="1" applyAlignment="1">
      <alignment horizontal="left" vertical="top"/>
    </xf>
    <xf numFmtId="0" fontId="7" fillId="0" borderId="45" xfId="0" applyFont="1" applyBorder="1" applyAlignment="1">
      <alignment horizontal="left" vertical="top" wrapText="1"/>
    </xf>
    <xf numFmtId="190" fontId="7" fillId="0" borderId="58" xfId="0" applyNumberFormat="1" applyFont="1" applyBorder="1" applyAlignment="1">
      <alignment horizontal="right"/>
    </xf>
    <xf numFmtId="190" fontId="7" fillId="0" borderId="45" xfId="0" applyNumberFormat="1" applyFont="1" applyBorder="1" applyAlignment="1">
      <alignment horizontal="right"/>
    </xf>
    <xf numFmtId="0" fontId="7" fillId="7" borderId="0" xfId="0" applyFont="1" applyFill="1" applyAlignment="1">
      <alignment horizontal="right"/>
    </xf>
    <xf numFmtId="0" fontId="7" fillId="7" borderId="28" xfId="0" applyFont="1" applyFill="1" applyBorder="1" applyAlignment="1">
      <alignment horizontal="right"/>
    </xf>
    <xf numFmtId="174" fontId="7" fillId="0" borderId="69" xfId="0" applyNumberFormat="1" applyFont="1" applyBorder="1" applyAlignment="1">
      <alignment horizontal="right"/>
    </xf>
    <xf numFmtId="174" fontId="7" fillId="0" borderId="70" xfId="0" applyNumberFormat="1" applyFont="1" applyBorder="1" applyAlignment="1">
      <alignment horizontal="right"/>
    </xf>
    <xf numFmtId="0" fontId="7" fillId="0" borderId="2" xfId="0" applyFont="1" applyBorder="1" applyAlignment="1">
      <alignment horizontal="right"/>
    </xf>
    <xf numFmtId="0" fontId="7" fillId="0" borderId="28" xfId="0" applyFont="1" applyBorder="1" applyAlignment="1">
      <alignment horizontal="right"/>
    </xf>
    <xf numFmtId="174" fontId="7" fillId="0" borderId="10" xfId="0" applyNumberFormat="1" applyFont="1" applyBorder="1" applyAlignment="1">
      <alignment horizontal="right"/>
    </xf>
    <xf numFmtId="174" fontId="7" fillId="0" borderId="11" xfId="0" applyNumberFormat="1" applyFont="1" applyBorder="1" applyAlignment="1">
      <alignment horizontal="right"/>
    </xf>
    <xf numFmtId="169" fontId="7" fillId="7" borderId="76" xfId="0" applyNumberFormat="1" applyFont="1" applyFill="1" applyBorder="1" applyAlignment="1">
      <alignment horizontal="right"/>
    </xf>
    <xf numFmtId="169" fontId="7" fillId="7" borderId="70" xfId="0" applyNumberFormat="1" applyFont="1" applyFill="1" applyBorder="1" applyAlignment="1">
      <alignment horizontal="right"/>
    </xf>
    <xf numFmtId="0" fontId="9" fillId="0" borderId="0" xfId="0" applyFont="1" applyAlignment="1">
      <alignment horizontal="left" wrapText="1"/>
    </xf>
    <xf numFmtId="0" fontId="52" fillId="0" borderId="0" xfId="0" applyFont="1" applyAlignment="1">
      <alignment horizontal="left"/>
    </xf>
    <xf numFmtId="0" fontId="52" fillId="0" borderId="0" xfId="0" applyFont="1" applyAlignment="1">
      <alignment horizontal="left" wrapText="1"/>
    </xf>
    <xf numFmtId="0" fontId="52" fillId="0" borderId="0" xfId="0" applyFont="1" applyAlignment="1">
      <alignment horizontal="left" vertical="top" wrapText="1"/>
    </xf>
    <xf numFmtId="0" fontId="77" fillId="0" borderId="0" xfId="0" applyFont="1" applyAlignment="1">
      <alignment horizontal="center"/>
    </xf>
    <xf numFmtId="49" fontId="9" fillId="0" borderId="26" xfId="0" applyNumberFormat="1" applyFont="1" applyBorder="1" applyAlignment="1">
      <alignment horizontal="center" wrapText="1"/>
    </xf>
    <xf numFmtId="49" fontId="9" fillId="0" borderId="50" xfId="0" applyNumberFormat="1" applyFont="1" applyBorder="1" applyAlignment="1">
      <alignment horizontal="center" wrapText="1"/>
    </xf>
    <xf numFmtId="49" fontId="9" fillId="0" borderId="2" xfId="0" applyNumberFormat="1" applyFont="1" applyBorder="1" applyAlignment="1">
      <alignment horizontal="center" wrapText="1"/>
    </xf>
    <xf numFmtId="49" fontId="9" fillId="0" borderId="28" xfId="0" applyNumberFormat="1" applyFont="1" applyBorder="1" applyAlignment="1">
      <alignment horizontal="center" wrapText="1"/>
    </xf>
    <xf numFmtId="49" fontId="9" fillId="0" borderId="18" xfId="0" applyNumberFormat="1" applyFont="1" applyBorder="1" applyAlignment="1">
      <alignment horizontal="center" wrapText="1"/>
    </xf>
    <xf numFmtId="49" fontId="9" fillId="0" borderId="0" xfId="0" applyNumberFormat="1" applyFont="1" applyAlignment="1">
      <alignment horizontal="center" wrapText="1"/>
    </xf>
    <xf numFmtId="166" fontId="7" fillId="0" borderId="10" xfId="0" applyNumberFormat="1" applyFont="1" applyBorder="1" applyAlignment="1">
      <alignment horizontal="right"/>
    </xf>
    <xf numFmtId="166" fontId="7" fillId="0" borderId="11" xfId="0" applyNumberFormat="1" applyFont="1" applyBorder="1" applyAlignment="1">
      <alignment horizontal="right"/>
    </xf>
    <xf numFmtId="49" fontId="9" fillId="0" borderId="10" xfId="0" applyNumberFormat="1" applyFont="1" applyBorder="1" applyAlignment="1">
      <alignment horizontal="center"/>
    </xf>
    <xf numFmtId="49" fontId="9" fillId="0" borderId="23" xfId="0" applyNumberFormat="1" applyFont="1" applyBorder="1" applyAlignment="1">
      <alignment horizontal="center"/>
    </xf>
    <xf numFmtId="0" fontId="7" fillId="0" borderId="26" xfId="0" applyFont="1" applyBorder="1" applyAlignment="1">
      <alignment horizontal="center"/>
    </xf>
    <xf numFmtId="0" fontId="7" fillId="0" borderId="50" xfId="0" applyFont="1" applyBorder="1" applyAlignment="1">
      <alignment horizontal="center"/>
    </xf>
    <xf numFmtId="178" fontId="7" fillId="0" borderId="69" xfId="0" applyNumberFormat="1" applyFont="1" applyBorder="1" applyAlignment="1">
      <alignment horizontal="right"/>
    </xf>
    <xf numFmtId="178" fontId="7" fillId="0" borderId="70" xfId="0" applyNumberFormat="1" applyFont="1" applyBorder="1" applyAlignment="1">
      <alignment horizontal="right"/>
    </xf>
    <xf numFmtId="190" fontId="7" fillId="0" borderId="10" xfId="0" applyNumberFormat="1" applyFont="1" applyBorder="1" applyAlignment="1">
      <alignment horizontal="right"/>
    </xf>
    <xf numFmtId="190" fontId="7" fillId="0" borderId="11" xfId="0" applyNumberFormat="1" applyFont="1" applyBorder="1" applyAlignment="1">
      <alignment horizontal="right"/>
    </xf>
    <xf numFmtId="169" fontId="7" fillId="0" borderId="76" xfId="0" applyNumberFormat="1" applyFont="1" applyBorder="1" applyAlignment="1">
      <alignment horizontal="right"/>
    </xf>
    <xf numFmtId="169" fontId="7" fillId="0" borderId="70" xfId="0" applyNumberFormat="1" applyFont="1" applyBorder="1" applyAlignment="1">
      <alignment horizontal="right"/>
    </xf>
    <xf numFmtId="0" fontId="9" fillId="0" borderId="0" xfId="0" applyFont="1" applyAlignment="1">
      <alignment horizontal="left"/>
    </xf>
    <xf numFmtId="0" fontId="7" fillId="0" borderId="58" xfId="0" applyFont="1" applyBorder="1" applyAlignment="1">
      <alignment horizontal="center"/>
    </xf>
    <xf numFmtId="0" fontId="7" fillId="0" borderId="22" xfId="0" applyFont="1" applyBorder="1" applyAlignment="1">
      <alignment horizontal="center"/>
    </xf>
    <xf numFmtId="0" fontId="7" fillId="0" borderId="45" xfId="0" applyFont="1" applyBorder="1" applyAlignment="1">
      <alignment horizontal="center"/>
    </xf>
    <xf numFmtId="0" fontId="7" fillId="0" borderId="0" xfId="0" applyFont="1" applyBorder="1" applyAlignment="1">
      <alignment horizontal="left" wrapText="1"/>
    </xf>
    <xf numFmtId="0" fontId="80" fillId="0" borderId="0" xfId="0" applyFont="1" applyAlignment="1">
      <alignment horizontal="center" vertical="top"/>
    </xf>
    <xf numFmtId="0" fontId="7" fillId="0" borderId="0" xfId="0" applyFont="1" applyBorder="1" applyAlignment="1">
      <alignment horizontal="center"/>
    </xf>
    <xf numFmtId="49" fontId="7" fillId="0" borderId="23" xfId="0" applyNumberFormat="1" applyFont="1" applyBorder="1" applyAlignment="1">
      <alignment horizontal="left"/>
    </xf>
    <xf numFmtId="0" fontId="7" fillId="0" borderId="23" xfId="0" applyFont="1" applyBorder="1" applyAlignment="1">
      <alignment horizontal="left"/>
    </xf>
    <xf numFmtId="0" fontId="7" fillId="0" borderId="23" xfId="0" applyFont="1" applyBorder="1" applyAlignment="1">
      <alignment horizontal="center"/>
    </xf>
    <xf numFmtId="0" fontId="14" fillId="0" borderId="0" xfId="0" applyFont="1" applyBorder="1" applyAlignment="1">
      <alignment horizontal="center" wrapText="1"/>
    </xf>
    <xf numFmtId="0" fontId="14" fillId="0" borderId="76" xfId="0" applyFont="1" applyBorder="1" applyAlignment="1">
      <alignment horizontal="center" wrapText="1"/>
    </xf>
    <xf numFmtId="49" fontId="7" fillId="0" borderId="0" xfId="0" applyNumberFormat="1" applyFont="1" applyBorder="1" applyAlignment="1">
      <alignment horizontal="left"/>
    </xf>
    <xf numFmtId="0" fontId="7" fillId="0" borderId="0" xfId="0" applyFont="1" applyBorder="1" applyAlignment="1">
      <alignment horizontal="left"/>
    </xf>
    <xf numFmtId="0" fontId="5" fillId="0" borderId="0" xfId="0" applyFont="1" applyBorder="1" applyAlignment="1">
      <alignment horizontal="left" vertical="top" wrapText="1"/>
    </xf>
    <xf numFmtId="0" fontId="5" fillId="0" borderId="0" xfId="0" applyFont="1" applyBorder="1" applyAlignment="1">
      <alignment horizontal="left" vertical="center" wrapText="1"/>
    </xf>
    <xf numFmtId="0" fontId="50" fillId="0" borderId="0" xfId="0" applyFont="1" applyAlignment="1">
      <alignment horizontal="left" vertical="center" wrapText="1"/>
    </xf>
    <xf numFmtId="0" fontId="63" fillId="0" borderId="0" xfId="0" applyFont="1" applyAlignment="1">
      <alignment horizontal="left"/>
    </xf>
    <xf numFmtId="0" fontId="38" fillId="0" borderId="27" xfId="0" applyFont="1" applyBorder="1" applyAlignment="1">
      <alignment vertical="top" wrapText="1"/>
    </xf>
    <xf numFmtId="0" fontId="38" fillId="0" borderId="52" xfId="0" applyFont="1" applyBorder="1" applyAlignment="1">
      <alignment vertical="top" wrapText="1"/>
    </xf>
    <xf numFmtId="0" fontId="38" fillId="0" borderId="27" xfId="0" applyFont="1" applyBorder="1" applyAlignment="1">
      <alignment horizontal="left" vertical="top" wrapText="1"/>
    </xf>
    <xf numFmtId="0" fontId="38" fillId="0" borderId="52" xfId="0" applyFont="1" applyBorder="1" applyAlignment="1">
      <alignment horizontal="left" vertical="top" wrapText="1"/>
    </xf>
    <xf numFmtId="0" fontId="38" fillId="0" borderId="27" xfId="0" applyFont="1" applyBorder="1" applyAlignment="1">
      <alignment horizontal="center" vertical="top" wrapText="1"/>
    </xf>
    <xf numFmtId="0" fontId="38" fillId="0" borderId="52" xfId="0" applyFont="1" applyBorder="1" applyAlignment="1">
      <alignment horizontal="center" vertical="top" wrapText="1"/>
    </xf>
    <xf numFmtId="0" fontId="38" fillId="0" borderId="27" xfId="0" applyFont="1" applyBorder="1" applyAlignment="1">
      <alignment horizontal="center" vertical="center" wrapText="1"/>
    </xf>
    <xf numFmtId="0" fontId="38" fillId="0" borderId="52" xfId="0" applyFont="1" applyBorder="1" applyAlignment="1">
      <alignment horizontal="center" vertical="center" wrapText="1"/>
    </xf>
  </cellXfs>
  <cellStyles count="22">
    <cellStyle name="Comma" xfId="4"/>
    <cellStyle name="Comma [0]" xfId="5"/>
    <cellStyle name="Currency" xfId="2"/>
    <cellStyle name="Currency [0]" xfId="3"/>
    <cellStyle name="Followed Hyperlink 2" xfId="6"/>
    <cellStyle name="Followed Hyperlink 3" xfId="7"/>
    <cellStyle name="Hyperlink" xfId="8"/>
    <cellStyle name="Hyperlink 2" xfId="9"/>
    <cellStyle name="Hyperlink 3" xfId="10"/>
    <cellStyle name="Normal" xfId="0" builtinId="0"/>
    <cellStyle name="Normal 2" xfId="11"/>
    <cellStyle name="Normal 3" xfId="12"/>
    <cellStyle name="Normal_98-99Smry" xfId="13"/>
    <cellStyle name="Normal_Summary Page 1" xfId="14"/>
    <cellStyle name="Normal_Summary Page 2" xfId="15"/>
    <cellStyle name="Normal_Worksheet A.1" xfId="16"/>
    <cellStyle name="Normal_Worksheet B" xfId="17"/>
    <cellStyle name="Normal_Worksheet C" xfId="18"/>
    <cellStyle name="Normal_Worksheet J" xfId="19"/>
    <cellStyle name="Normal_Worksheet K" xfId="20"/>
    <cellStyle name="Normal_Worksheet N" xfId="21"/>
    <cellStyle name="Percent" xfId="1"/>
  </cellStyles>
  <dxfs count="5">
    <dxf>
      <fill>
        <patternFill>
          <bgColor rgb="FFFFFF00"/>
        </patternFill>
      </fill>
    </dxf>
    <dxf>
      <fill>
        <patternFill>
          <bgColor rgb="FFFFFF00"/>
        </patternFill>
      </fill>
    </dxf>
    <dxf>
      <fill>
        <patternFill>
          <bgColor rgb="FFFFFF00"/>
        </patternFill>
      </fill>
    </dxf>
    <dxf>
      <font>
        <b/>
        <i val="0"/>
        <color rgb="FFFF0000"/>
        <name val="Cambria"/>
      </font>
    </dxf>
    <dxf>
      <font>
        <b/>
        <i val="0"/>
        <color rgb="FFFF0000"/>
        <name val="Cambria"/>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hyperlink" Target="#CoverGen"/><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DistrictContact"/></Relationships>
</file>

<file path=xl/drawings/_rels/drawing3.xml.rels><?xml version="1.0" encoding="UTF-8" standalone="yes"?>
<Relationships xmlns="http://schemas.openxmlformats.org/package/2006/relationships"><Relationship Id="rId1" Type="http://schemas.openxmlformats.org/officeDocument/2006/relationships/hyperlink" Target="#Page1l4"/></Relationships>
</file>

<file path=xl/drawings/_rels/drawing4.xml.rels><?xml version="1.0" encoding="UTF-8" standalone="yes"?>
<Relationships xmlns="http://schemas.openxmlformats.org/package/2006/relationships"><Relationship Id="rId1" Type="http://schemas.openxmlformats.org/officeDocument/2006/relationships/hyperlink" Target="#Page2n1"/></Relationships>
</file>

<file path=xl/drawings/_rels/drawing5.xml.rels><?xml version="1.0" encoding="UTF-8" standalone="yes"?>
<Relationships xmlns="http://schemas.openxmlformats.org/package/2006/relationships"><Relationship Id="rId1" Type="http://schemas.openxmlformats.org/officeDocument/2006/relationships/hyperlink" Target="#Page3Gen"/></Relationships>
</file>

<file path=xl/drawings/_rels/drawing6.xml.rels><?xml version="1.0" encoding="UTF-8" standalone="yes"?>
<Relationships xmlns="http://schemas.openxmlformats.org/package/2006/relationships"><Relationship Id="rId1" Type="http://schemas.openxmlformats.org/officeDocument/2006/relationships/hyperlink" Target="#Page4L10"/></Relationships>
</file>

<file path=xl/drawings/_rels/drawing7.xml.rels><?xml version="1.0" encoding="UTF-8" standalone="yes"?>
<Relationships xmlns="http://schemas.openxmlformats.org/package/2006/relationships"><Relationship Id="rId1" Type="http://schemas.openxmlformats.org/officeDocument/2006/relationships/hyperlink" Target="#Page5SelectExp"/></Relationships>
</file>

<file path=xl/drawings/_rels/drawing8.xml.rels><?xml version="1.0" encoding="UTF-8" standalone="yes"?>
<Relationships xmlns="http://schemas.openxmlformats.org/package/2006/relationships"><Relationship Id="rId1" Type="http://schemas.openxmlformats.org/officeDocument/2006/relationships/hyperlink" Target="#Page6l16"/></Relationships>
</file>

<file path=xl/drawings/_rels/drawing9.xml.rels><?xml version="1.0" encoding="UTF-8" standalone="yes"?>
<Relationships xmlns="http://schemas.openxmlformats.org/package/2006/relationships"><Relationship Id="rId1" Type="http://schemas.openxmlformats.org/officeDocument/2006/relationships/hyperlink" Target="#Page7Gen"/></Relationships>
</file>

<file path=xl/drawings/_rels/drawing10.xml.rels><?xml version="1.0" encoding="UTF-8" standalone="yes"?>
<Relationships xmlns="http://schemas.openxmlformats.org/package/2006/relationships"><Relationship Id="rId1" Type="http://schemas.openxmlformats.org/officeDocument/2006/relationships/hyperlink" Target="#Page8lA2"/></Relationships>
</file>

<file path=xl/drawings/_rels/drawing11.xml.rels><?xml version="1.0" encoding="UTF-8" standalone="yes"?>
<Relationships xmlns="http://schemas.openxmlformats.org/package/2006/relationships"><Relationship Id="rId1" Type="http://schemas.openxmlformats.org/officeDocument/2006/relationships/hyperlink" Target="#Suppl_ELL"/></Relationships>
</file>

<file path=xl/drawings/_rels/drawing12.xml.rels><?xml version="1.0" encoding="UTF-8" standalone="yes"?>
<Relationships xmlns="http://schemas.openxmlformats.org/package/2006/relationships"><Relationship Id="rId1" Type="http://schemas.openxmlformats.org/officeDocument/2006/relationships/hyperlink" Target="#Summ_Page1_StudentCount"/></Relationships>
</file>

<file path=xl/drawings/_rels/drawing13.xml.rels><?xml version="1.0" encoding="UTF-8" standalone="yes"?>
<Relationships xmlns="http://schemas.openxmlformats.org/package/2006/relationships"><Relationship Id="rId1" Type="http://schemas.openxmlformats.org/officeDocument/2006/relationships/hyperlink" Target="#TruthinTax"/></Relationships>
</file>

<file path=xl/drawings/_rels/drawing14.xml.rels><?xml version="1.0" encoding="UTF-8" standalone="yes"?>
<Relationships xmlns="http://schemas.openxmlformats.org/package/2006/relationships"><Relationship Id="rId1" Type="http://schemas.openxmlformats.org/officeDocument/2006/relationships/hyperlink" Target="#DataEntryGeneral"/></Relationships>
</file>

<file path=xl/drawings/_rels/drawing15.xml.rels><?xml version="1.0" encoding="UTF-8" standalone="yes"?>
<Relationships xmlns="http://schemas.openxmlformats.org/package/2006/relationships"><Relationship Id="rId1" Type="http://schemas.openxmlformats.org/officeDocument/2006/relationships/hyperlink" Target="#CalcGeneral"/></Relationships>
</file>

<file path=xl/drawings/_rels/drawing16.xml.rels><?xml version="1.0" encoding="UTF-8" standalone="yes"?>
<Relationships xmlns="http://schemas.openxmlformats.org/package/2006/relationships"><Relationship Id="rId1" Type="http://schemas.openxmlformats.org/officeDocument/2006/relationships/hyperlink" Target="#BSA55General"/></Relationships>
</file>

<file path=xl/drawings/drawing1.xml><?xml version="1.0" encoding="utf-8"?>
<xdr:wsDr xmlns:xdr="http://schemas.openxmlformats.org/drawingml/2006/spreadsheetDrawing" xmlns:a="http://schemas.openxmlformats.org/drawingml/2006/main">
  <xdr:twoCellAnchor editAs="oneCell">
    <xdr:from>
      <xdr:col>0</xdr:col>
      <xdr:colOff>205740</xdr:colOff>
      <xdr:row>2</xdr:row>
      <xdr:rowOff>163830</xdr:rowOff>
    </xdr:from>
    <xdr:to>
      <xdr:col>1</xdr:col>
      <xdr:colOff>952500</xdr:colOff>
      <xdr:row>8</xdr:row>
      <xdr:rowOff>94615</xdr:rowOff>
    </xdr:to>
    <xdr:pic>
      <xdr:nvPicPr>
        <xdr:cNvPr id="347407" name="Picture 1">
          <a:extLst>
            <a:ext uri="{FF2B5EF4-FFF2-40B4-BE49-F238E27FC236}">
              <a16:creationId xmlns:a16="http://schemas.microsoft.com/office/drawing/2014/main" xmlns="" id="{00000000-0008-0000-0000-00000F4D05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bwMode="auto">
        <a:xfrm>
          <a:off x="205740" y="411480"/>
          <a:ext cx="1146810" cy="114427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6</xdr:col>
      <xdr:colOff>781050</xdr:colOff>
      <xdr:row>5</xdr:row>
      <xdr:rowOff>0</xdr:rowOff>
    </xdr:from>
    <xdr:to>
      <xdr:col>8</xdr:col>
      <xdr:colOff>133350</xdr:colOff>
      <xdr:row>6</xdr:row>
      <xdr:rowOff>123825</xdr:rowOff>
    </xdr:to>
    <xdr:sp macro="" textlink="">
      <xdr:nvSpPr>
        <xdr:cNvPr id="5" name="TextBox 4">
          <a:hlinkClick xmlns:r="http://schemas.openxmlformats.org/officeDocument/2006/relationships" r:id="rId2"/>
          <a:extLst>
            <a:ext uri="{FF2B5EF4-FFF2-40B4-BE49-F238E27FC236}">
              <a16:creationId xmlns:a16="http://schemas.microsoft.com/office/drawing/2014/main" xmlns="" id="{00000000-0008-0000-0000-000005000000}"/>
            </a:ext>
          </a:extLst>
        </xdr:cNvPr>
        <xdr:cNvSpPr txBox="1"/>
      </xdr:nvSpPr>
      <xdr:spPr>
        <a:xfrm>
          <a:off x="6905625" y="809625"/>
          <a:ext cx="1133475" cy="323850"/>
        </a:xfrm>
        <a:prstGeom prst="rect">
          <a:avLst/>
        </a:prstGeom>
        <a:solidFill>
          <a:srgbClr val="00B0F0"/>
        </a:solidFill>
        <a:ln w="9525" cmpd="sng">
          <a:solidFill>
            <a:schemeClr val="lt1">
              <a:shade val="50000"/>
            </a:schemeClr>
          </a:solidFill>
          <a:headEnd type="none"/>
          <a:tailEnd type="none"/>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lang="en-US" sz="1100">
              <a:latin typeface="Times New Roman" pitchFamily="18" charset="0"/>
              <a:cs typeface="Times New Roman" pitchFamily="18" charset="0"/>
            </a:rPr>
            <a:t>Instructions</a:t>
          </a: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1952625</xdr:colOff>
      <xdr:row>3</xdr:row>
      <xdr:rowOff>133350</xdr:rowOff>
    </xdr:to>
    <xdr:sp macro="" textlink="">
      <xdr:nvSpPr>
        <xdr:cNvPr id="2" name="Rectangle 1">
          <a:hlinkClick xmlns:r="http://schemas.openxmlformats.org/officeDocument/2006/relationships" r:id="rId1"/>
          <a:extLst>
            <a:ext uri="{FF2B5EF4-FFF2-40B4-BE49-F238E27FC236}">
              <a16:creationId xmlns:a16="http://schemas.microsoft.com/office/drawing/2014/main" xmlns="" id="{00000000-0008-0000-0100-000002000000}"/>
            </a:ext>
          </a:extLst>
        </xdr:cNvPr>
        <xdr:cNvSpPr/>
      </xdr:nvSpPr>
      <xdr:spPr bwMode="auto">
        <a:xfrm>
          <a:off x="1190625" y="400050"/>
          <a:ext cx="1952625" cy="333375"/>
        </a:xfrm>
        <a:prstGeom prst="rect">
          <a:avLst/>
        </a:prstGeom>
        <a:solidFill>
          <a:srgbClr val="00B0F0"/>
        </a:solidFill>
        <a:ln w="9525" cap="flat" cmpd="sng" algn="ctr">
          <a:noFill/>
        </a:ln>
      </xdr:spPr>
      <xdr:txBody>
        <a:bodyPr vertOverflow="clip" wrap="square" lIns="18288" tIns="0" rIns="0" bIns="0" rtlCol="0" anchor="ctr" upright="1"/>
        <a:lstStyle/>
        <a:p>
          <a:pPr algn="ctr"/>
          <a:r>
            <a:rPr lang="en-US" sz="1100" b="0">
              <a:ln>
                <a:noFill/>
              </a:ln>
              <a:solidFill>
                <a:schemeClr val="tx1"/>
              </a:solidFill>
              <a:latin typeface="Times New Roman" panose="02020603050405020304" pitchFamily="18" charset="0"/>
              <a:cs typeface="Times New Roman" panose="02020603050405020304" pitchFamily="18" charset="0"/>
            </a:rPr>
            <a:t>Instructions</a:t>
          </a:r>
        </a:p>
      </xdr:txBody>
    </xdr:sp>
    <xdr:clientData fPrintsWithSheet="0"/>
  </xdr:twoCellAnchor>
</xdr:wsDr>
</file>

<file path=xl/drawings/drawing3.xml><?xml version="1.0" encoding="utf-8"?>
<xdr:wsDr xmlns:xdr="http://schemas.openxmlformats.org/drawingml/2006/spreadsheetDrawing" xmlns:a="http://schemas.openxmlformats.org/drawingml/2006/main">
  <xdr:oneCellAnchor>
    <xdr:from>
      <xdr:col>1</xdr:col>
      <xdr:colOff>0</xdr:colOff>
      <xdr:row>3</xdr:row>
      <xdr:rowOff>0</xdr:rowOff>
    </xdr:from>
    <xdr:ext cx="1581150" cy="304800"/>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200-000002000000}"/>
            </a:ext>
          </a:extLst>
        </xdr:cNvPr>
        <xdr:cNvSpPr txBox="1"/>
      </xdr:nvSpPr>
      <xdr:spPr>
        <a:xfrm>
          <a:off x="1447800" y="552450"/>
          <a:ext cx="1581150" cy="30480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700"/>
            </a:lnSpc>
          </a:pPr>
          <a:r>
            <a:rPr lang="en-US" sz="1100">
              <a:latin typeface="Times New Roman" pitchFamily="18" charset="0"/>
              <a:cs typeface="Times New Roman" pitchFamily="18" charset="0"/>
            </a:rPr>
            <a:t>Instructions</a:t>
          </a:r>
        </a:p>
      </xdr:txBody>
    </xdr:sp>
    <xdr:clientData fPrintsWithSheet="0"/>
  </xdr:oneCellAnchor>
</xdr:wsDr>
</file>

<file path=xl/drawings/drawing4.xml><?xml version="1.0" encoding="utf-8"?>
<xdr:wsDr xmlns:xdr="http://schemas.openxmlformats.org/drawingml/2006/spreadsheetDrawing" xmlns:a="http://schemas.openxmlformats.org/drawingml/2006/main">
  <xdr:oneCellAnchor>
    <xdr:from>
      <xdr:col>8</xdr:col>
      <xdr:colOff>0</xdr:colOff>
      <xdr:row>3</xdr:row>
      <xdr:rowOff>0</xdr:rowOff>
    </xdr:from>
    <xdr:ext cx="1695450" cy="295275"/>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300-000002000000}"/>
            </a:ext>
          </a:extLst>
        </xdr:cNvPr>
        <xdr:cNvSpPr txBox="1"/>
      </xdr:nvSpPr>
      <xdr:spPr>
        <a:xfrm>
          <a:off x="5581650" y="485775"/>
          <a:ext cx="1695450" cy="295275"/>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r>
            <a:rPr lang="en-US" sz="1100">
              <a:latin typeface="Times New Roman" pitchFamily="18" charset="0"/>
              <a:cs typeface="Times New Roman" pitchFamily="18" charset="0"/>
            </a:rPr>
            <a:t>Instructions</a:t>
          </a:r>
        </a:p>
      </xdr:txBody>
    </xdr:sp>
    <xdr:clientData fPrintsWithSheet="0"/>
  </xdr:oneCellAnchor>
</xdr:wsDr>
</file>

<file path=xl/drawings/drawing5.xml><?xml version="1.0" encoding="utf-8"?>
<xdr:wsDr xmlns:xdr="http://schemas.openxmlformats.org/drawingml/2006/spreadsheetDrawing" xmlns:a="http://schemas.openxmlformats.org/drawingml/2006/main">
  <xdr:oneCellAnchor>
    <xdr:from>
      <xdr:col>0</xdr:col>
      <xdr:colOff>1971675</xdr:colOff>
      <xdr:row>2</xdr:row>
      <xdr:rowOff>85725</xdr:rowOff>
    </xdr:from>
    <xdr:ext cx="971550" cy="276225"/>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400-000002000000}"/>
            </a:ext>
          </a:extLst>
        </xdr:cNvPr>
        <xdr:cNvSpPr txBox="1"/>
      </xdr:nvSpPr>
      <xdr:spPr>
        <a:xfrm>
          <a:off x="1971675" y="581025"/>
          <a:ext cx="971550" cy="276225"/>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800"/>
            </a:lnSpc>
          </a:pPr>
          <a:r>
            <a:rPr lang="en-US" sz="1100">
              <a:ln>
                <a:noFill/>
              </a:ln>
              <a:solidFill>
                <a:schemeClr val="tx1"/>
              </a:solidFill>
              <a:latin typeface="Times New Roman" pitchFamily="18" charset="0"/>
              <a:cs typeface="Times New Roman" pitchFamily="18" charset="0"/>
            </a:rPr>
            <a:t>Instructions</a:t>
          </a:r>
        </a:p>
      </xdr:txBody>
    </xdr:sp>
    <xdr:clientData fPrintsWithSheet="0"/>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4</xdr:row>
      <xdr:rowOff>0</xdr:rowOff>
    </xdr:from>
    <xdr:ext cx="1123950" cy="304800"/>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500-000002000000}"/>
            </a:ext>
          </a:extLst>
        </xdr:cNvPr>
        <xdr:cNvSpPr txBox="1"/>
      </xdr:nvSpPr>
      <xdr:spPr>
        <a:xfrm>
          <a:off x="2200275" y="895350"/>
          <a:ext cx="1123950" cy="30480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1100"/>
            </a:lnSpc>
          </a:pPr>
          <a:r>
            <a:rPr lang="en-US" sz="1100">
              <a:latin typeface="Times New Roman" pitchFamily="18" charset="0"/>
              <a:cs typeface="Times New Roman" pitchFamily="18" charset="0"/>
            </a:rPr>
            <a:t>Instructions</a:t>
          </a:r>
        </a:p>
      </xdr:txBody>
    </xdr:sp>
    <xdr:clientData fPrintsWithSheet="0"/>
  </xdr:oneCellAnchor>
</xdr:wsDr>
</file>

<file path=xl/drawings/drawing7.xml><?xml version="1.0" encoding="utf-8"?>
<xdr:wsDr xmlns:xdr="http://schemas.openxmlformats.org/drawingml/2006/spreadsheetDrawing" xmlns:a="http://schemas.openxmlformats.org/drawingml/2006/main">
  <xdr:oneCellAnchor>
    <xdr:from>
      <xdr:col>1</xdr:col>
      <xdr:colOff>180975</xdr:colOff>
      <xdr:row>4</xdr:row>
      <xdr:rowOff>180975</xdr:rowOff>
    </xdr:from>
    <xdr:ext cx="1514475" cy="304800"/>
    <xdr:sp macro="" textlink="">
      <xdr:nvSpPr>
        <xdr:cNvPr id="4" name="TextBox 3">
          <a:hlinkClick xmlns:r="http://schemas.openxmlformats.org/officeDocument/2006/relationships" r:id="rId1"/>
          <a:extLst>
            <a:ext uri="{FF2B5EF4-FFF2-40B4-BE49-F238E27FC236}">
              <a16:creationId xmlns:a16="http://schemas.microsoft.com/office/drawing/2014/main" xmlns="" id="{00000000-0008-0000-0600-000004000000}"/>
            </a:ext>
          </a:extLst>
        </xdr:cNvPr>
        <xdr:cNvSpPr txBox="1"/>
      </xdr:nvSpPr>
      <xdr:spPr>
        <a:xfrm>
          <a:off x="1895475" y="971550"/>
          <a:ext cx="1514475" cy="30480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700"/>
            </a:lnSpc>
          </a:pPr>
          <a:r>
            <a:rPr lang="en-US" sz="1100">
              <a:latin typeface="Times New Roman" pitchFamily="18" charset="0"/>
              <a:cs typeface="Times New Roman" pitchFamily="18" charset="0"/>
            </a:rPr>
            <a:t>Instructions</a:t>
          </a:r>
        </a:p>
      </xdr:txBody>
    </xdr:sp>
    <xdr:clientData fPrintsWithSheet="0"/>
  </xdr:oneCellAnchor>
</xdr:wsDr>
</file>

<file path=xl/drawings/drawing8.xml><?xml version="1.0" encoding="utf-8"?>
<xdr:wsDr xmlns:xdr="http://schemas.openxmlformats.org/drawingml/2006/spreadsheetDrawing" xmlns:a="http://schemas.openxmlformats.org/drawingml/2006/main">
  <xdr:oneCellAnchor>
    <xdr:from>
      <xdr:col>3</xdr:col>
      <xdr:colOff>1352550</xdr:colOff>
      <xdr:row>2</xdr:row>
      <xdr:rowOff>0</xdr:rowOff>
    </xdr:from>
    <xdr:ext cx="1390650" cy="342900"/>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700-000002000000}"/>
            </a:ext>
          </a:extLst>
        </xdr:cNvPr>
        <xdr:cNvSpPr txBox="1"/>
      </xdr:nvSpPr>
      <xdr:spPr>
        <a:xfrm>
          <a:off x="2543175" y="295275"/>
          <a:ext cx="1390650" cy="34290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700"/>
            </a:lnSpc>
          </a:pPr>
          <a:r>
            <a:rPr lang="en-US" sz="1100">
              <a:solidFill>
                <a:schemeClr val="tx1"/>
              </a:solidFill>
              <a:latin typeface="Times New Roman" pitchFamily="18" charset="0"/>
              <a:cs typeface="Times New Roman" pitchFamily="18" charset="0"/>
            </a:rPr>
            <a:t>Instructions</a:t>
          </a:r>
        </a:p>
      </xdr:txBody>
    </xdr:sp>
    <xdr:clientData fPrintsWithSheet="0"/>
  </xdr:oneCellAnchor>
</xdr:wsDr>
</file>

<file path=xl/drawings/drawing9.xml><?xml version="1.0" encoding="utf-8"?>
<xdr:wsDr xmlns:xdr="http://schemas.openxmlformats.org/drawingml/2006/spreadsheetDrawing" xmlns:a="http://schemas.openxmlformats.org/drawingml/2006/main">
  <xdr:oneCellAnchor>
    <xdr:from>
      <xdr:col>2</xdr:col>
      <xdr:colOff>0</xdr:colOff>
      <xdr:row>3</xdr:row>
      <xdr:rowOff>0</xdr:rowOff>
    </xdr:from>
    <xdr:ext cx="1685925" cy="400050"/>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800-000002000000}"/>
            </a:ext>
          </a:extLst>
        </xdr:cNvPr>
        <xdr:cNvSpPr txBox="1"/>
      </xdr:nvSpPr>
      <xdr:spPr>
        <a:xfrm>
          <a:off x="495300" y="533400"/>
          <a:ext cx="1685925" cy="40005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1000"/>
            </a:lnSpc>
          </a:pPr>
          <a:r>
            <a:rPr lang="en-US" sz="1100">
              <a:latin typeface="Times New Roman" pitchFamily="18" charset="0"/>
              <a:cs typeface="Times New Roman" pitchFamily="18" charset="0"/>
            </a:rPr>
            <a:t>Instructions</a:t>
          </a:r>
        </a:p>
      </xdr:txBody>
    </xdr:sp>
    <xdr:clientData fPrintsWithSheet="0"/>
  </xdr:oneCellAnchor>
</xdr:wsDr>
</file>

<file path=xl/drawings/drawing10.xml><?xml version="1.0" encoding="utf-8"?>
<xdr:wsDr xmlns:xdr="http://schemas.openxmlformats.org/drawingml/2006/spreadsheetDrawing" xmlns:a="http://schemas.openxmlformats.org/drawingml/2006/main">
  <xdr:oneCellAnchor>
    <xdr:from>
      <xdr:col>3</xdr:col>
      <xdr:colOff>85725</xdr:colOff>
      <xdr:row>4</xdr:row>
      <xdr:rowOff>0</xdr:rowOff>
    </xdr:from>
    <xdr:ext cx="1543050" cy="352425"/>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900-000002000000}"/>
            </a:ext>
          </a:extLst>
        </xdr:cNvPr>
        <xdr:cNvSpPr txBox="1"/>
      </xdr:nvSpPr>
      <xdr:spPr>
        <a:xfrm>
          <a:off x="600075" y="781050"/>
          <a:ext cx="1543050" cy="352425"/>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r>
            <a:rPr lang="en-US" sz="1100">
              <a:latin typeface="Times New Roman" pitchFamily="18" charset="0"/>
              <a:cs typeface="Times New Roman" pitchFamily="18" charset="0"/>
            </a:rPr>
            <a:t>Instructions</a:t>
          </a:r>
        </a:p>
      </xdr:txBody>
    </xdr:sp>
    <xdr:clientData fPrintsWithSheet="0"/>
  </xdr:oneCellAnchor>
</xdr:wsDr>
</file>

<file path=xl/drawings/drawing11.xml><?xml version="1.0" encoding="utf-8"?>
<xdr:wsDr xmlns:xdr="http://schemas.openxmlformats.org/drawingml/2006/spreadsheetDrawing" xmlns:a="http://schemas.openxmlformats.org/drawingml/2006/main">
  <xdr:oneCellAnchor>
    <xdr:from>
      <xdr:col>1</xdr:col>
      <xdr:colOff>981075</xdr:colOff>
      <xdr:row>2</xdr:row>
      <xdr:rowOff>123825</xdr:rowOff>
    </xdr:from>
    <xdr:ext cx="1314450" cy="342900"/>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A00-000002000000}"/>
            </a:ext>
          </a:extLst>
        </xdr:cNvPr>
        <xdr:cNvSpPr txBox="1"/>
      </xdr:nvSpPr>
      <xdr:spPr>
        <a:xfrm flipH="1">
          <a:off x="2428875" y="809625"/>
          <a:ext cx="1314450" cy="342900"/>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700"/>
            </a:lnSpc>
          </a:pPr>
          <a:r>
            <a:rPr lang="en-US" sz="1100">
              <a:solidFill>
                <a:schemeClr val="tx1"/>
              </a:solidFill>
              <a:latin typeface="Times New Roman" pitchFamily="18" charset="0"/>
              <a:cs typeface="Times New Roman" pitchFamily="18" charset="0"/>
            </a:rPr>
            <a:t>Instructions</a:t>
          </a:r>
        </a:p>
      </xdr:txBody>
    </xdr:sp>
    <xdr:clientData fPrintsWithSheet="0"/>
  </xdr:oneCellAnchor>
</xdr:wsDr>
</file>

<file path=xl/drawings/drawing12.xml><?xml version="1.0" encoding="utf-8"?>
<xdr:wsDr xmlns:xdr="http://schemas.openxmlformats.org/drawingml/2006/spreadsheetDrawing" xmlns:a="http://schemas.openxmlformats.org/drawingml/2006/main">
  <xdr:oneCellAnchor>
    <xdr:from>
      <xdr:col>1</xdr:col>
      <xdr:colOff>0</xdr:colOff>
      <xdr:row>5</xdr:row>
      <xdr:rowOff>66675</xdr:rowOff>
    </xdr:from>
    <xdr:ext cx="1285875" cy="257175"/>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B00-000002000000}"/>
            </a:ext>
          </a:extLst>
        </xdr:cNvPr>
        <xdr:cNvSpPr txBox="1"/>
      </xdr:nvSpPr>
      <xdr:spPr>
        <a:xfrm>
          <a:off x="1457325" y="904875"/>
          <a:ext cx="1285875" cy="257175"/>
        </a:xfrm>
        <a:prstGeom prst="rect">
          <a:avLst/>
        </a:prstGeom>
        <a:solidFill>
          <a:srgbClr val="00B0F0"/>
        </a:solid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noAutofit/>
        </a:bodyPr>
        <a:lstStyle/>
        <a:p>
          <a:pPr algn="ctr">
            <a:lnSpc>
              <a:spcPts val="1100"/>
            </a:lnSpc>
          </a:pPr>
          <a:r>
            <a:rPr lang="en-US" sz="1100">
              <a:latin typeface="Times New Roman" pitchFamily="18" charset="0"/>
              <a:cs typeface="Times New Roman" pitchFamily="18" charset="0"/>
            </a:rPr>
            <a:t>Instructions</a:t>
          </a:r>
        </a:p>
      </xdr:txBody>
    </xdr:sp>
    <xdr:clientData fPrintsWithSheet="0"/>
  </xdr:oneCellAnchor>
</xdr:wsDr>
</file>

<file path=xl/drawings/drawing13.xml><?xml version="1.0" encoding="utf-8"?>
<xdr:wsDr xmlns:xdr="http://schemas.openxmlformats.org/drawingml/2006/spreadsheetDrawing" xmlns:a="http://schemas.openxmlformats.org/drawingml/2006/main">
  <xdr:twoCellAnchor>
    <xdr:from>
      <xdr:col>1</xdr:col>
      <xdr:colOff>0</xdr:colOff>
      <xdr:row>2</xdr:row>
      <xdr:rowOff>0</xdr:rowOff>
    </xdr:from>
    <xdr:to>
      <xdr:col>4</xdr:col>
      <xdr:colOff>638175</xdr:colOff>
      <xdr:row>4</xdr:row>
      <xdr:rowOff>0</xdr:rowOff>
    </xdr:to>
    <xdr:sp macro="" textlink="">
      <xdr:nvSpPr>
        <xdr:cNvPr id="2" name="TextBox 1">
          <a:hlinkClick xmlns:r="http://schemas.openxmlformats.org/officeDocument/2006/relationships" r:id="rId1"/>
          <a:extLst>
            <a:ext uri="{FF2B5EF4-FFF2-40B4-BE49-F238E27FC236}">
              <a16:creationId xmlns:a16="http://schemas.microsoft.com/office/drawing/2014/main" xmlns="" id="{00000000-0008-0000-0D00-000002000000}"/>
            </a:ext>
          </a:extLst>
        </xdr:cNvPr>
        <xdr:cNvSpPr txBox="1"/>
      </xdr:nvSpPr>
      <xdr:spPr>
        <a:xfrm>
          <a:off x="342900" y="371475"/>
          <a:ext cx="1581150" cy="295275"/>
        </a:xfrm>
        <a:prstGeom prst="rect">
          <a:avLst/>
        </a:prstGeom>
        <a:solidFill>
          <a:srgbClr val="00B0F0"/>
        </a:solidFill>
        <a:ln w="9525" cmpd="sng">
          <a:solidFill>
            <a:schemeClr val="lt1">
              <a:shade val="50000"/>
            </a:schemeClr>
          </a:solidFill>
          <a:headEnd type="none"/>
          <a:tailEnd type="none"/>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lang="en-US" sz="1100" baseline="0">
              <a:latin typeface="Times New Roman" pitchFamily="18" charset="0"/>
              <a:cs typeface="Times New Roman" pitchFamily="18" charset="0"/>
            </a:rPr>
            <a:t> </a:t>
          </a:r>
          <a:r>
            <a:rPr lang="en-US" sz="1100">
              <a:latin typeface="Times New Roman" pitchFamily="18" charset="0"/>
              <a:cs typeface="Times New Roman" pitchFamily="18" charset="0"/>
            </a:rPr>
            <a:t>Instructions</a:t>
          </a:r>
        </a:p>
      </xdr:txBody>
    </xdr:sp>
    <xdr:clientData fPrintsWithSheet="0"/>
  </xdr:twoCellAnchor>
</xdr:wsDr>
</file>

<file path=xl/drawings/drawing14.xml><?xml version="1.0" encoding="utf-8"?>
<xdr:wsDr xmlns:xdr="http://schemas.openxmlformats.org/drawingml/2006/spreadsheetDrawing" xmlns:a="http://schemas.openxmlformats.org/drawingml/2006/main">
  <xdr:twoCellAnchor>
    <xdr:from>
      <xdr:col>4</xdr:col>
      <xdr:colOff>0</xdr:colOff>
      <xdr:row>2</xdr:row>
      <xdr:rowOff>0</xdr:rowOff>
    </xdr:from>
    <xdr:to>
      <xdr:col>5</xdr:col>
      <xdr:colOff>9525</xdr:colOff>
      <xdr:row>3</xdr:row>
      <xdr:rowOff>95250</xdr:rowOff>
    </xdr:to>
    <xdr:sp macro="" textlink="">
      <xdr:nvSpPr>
        <xdr:cNvPr id="2" name="Rectangle 1">
          <a:hlinkClick xmlns:r="http://schemas.openxmlformats.org/officeDocument/2006/relationships" r:id="rId1"/>
          <a:extLst>
            <a:ext uri="{FF2B5EF4-FFF2-40B4-BE49-F238E27FC236}">
              <a16:creationId xmlns:a16="http://schemas.microsoft.com/office/drawing/2014/main" xmlns="" id="{00000000-0008-0000-0E00-000002000000}"/>
            </a:ext>
          </a:extLst>
        </xdr:cNvPr>
        <xdr:cNvSpPr/>
      </xdr:nvSpPr>
      <xdr:spPr bwMode="auto">
        <a:xfrm>
          <a:off x="866775" y="381000"/>
          <a:ext cx="1304925" cy="295275"/>
        </a:xfrm>
        <a:prstGeom prst="rect">
          <a:avLst/>
        </a:prstGeom>
        <a:solidFill>
          <a:srgbClr val="00B0F0"/>
        </a:solidFill>
        <a:ln w="9525" cap="flat" cmpd="sng" algn="ctr">
          <a:noFill/>
        </a:ln>
      </xdr:spPr>
      <xdr:txBody>
        <a:bodyPr vertOverflow="clip" wrap="square" lIns="18288" tIns="0" rIns="0" bIns="0" rtlCol="0" anchor="ctr" upright="1"/>
        <a:lstStyle/>
        <a:p>
          <a:pPr algn="ctr"/>
          <a:r>
            <a:rPr lang="en-US" sz="1100">
              <a:solidFill>
                <a:sysClr val="windowText" lastClr="000000"/>
              </a:solidFill>
            </a:rPr>
            <a:t>  </a:t>
          </a:r>
          <a:r>
            <a:rPr lang="en-US" sz="1100">
              <a:solidFill>
                <a:sysClr val="windowText" lastClr="000000"/>
              </a:solidFill>
              <a:latin typeface="Times New Roman" panose="02020603050405020304" pitchFamily="18" charset="0"/>
              <a:cs typeface="Times New Roman" panose="02020603050405020304" pitchFamily="18" charset="0"/>
            </a:rPr>
            <a:t>Instructions</a:t>
          </a:r>
        </a:p>
      </xdr:txBody>
    </xdr:sp>
    <xdr:clientData fPrintsWithSheet="0"/>
  </xdr:twoCellAnchor>
</xdr:wsDr>
</file>

<file path=xl/drawings/drawing15.xml><?xml version="1.0" encoding="utf-8"?>
<xdr:wsDr xmlns:xdr="http://schemas.openxmlformats.org/drawingml/2006/spreadsheetDrawing" xmlns:a="http://schemas.openxmlformats.org/drawingml/2006/main">
  <xdr:twoCellAnchor>
    <xdr:from>
      <xdr:col>2</xdr:col>
      <xdr:colOff>0</xdr:colOff>
      <xdr:row>2</xdr:row>
      <xdr:rowOff>0</xdr:rowOff>
    </xdr:from>
    <xdr:to>
      <xdr:col>5</xdr:col>
      <xdr:colOff>733425</xdr:colOff>
      <xdr:row>6</xdr:row>
      <xdr:rowOff>76200</xdr:rowOff>
    </xdr:to>
    <xdr:sp macro="" textlink="">
      <xdr:nvSpPr>
        <xdr:cNvPr id="2" name="Rectangle 1">
          <a:hlinkClick xmlns:r="http://schemas.openxmlformats.org/officeDocument/2006/relationships" r:id="rId1"/>
          <a:extLst>
            <a:ext uri="{FF2B5EF4-FFF2-40B4-BE49-F238E27FC236}">
              <a16:creationId xmlns:a16="http://schemas.microsoft.com/office/drawing/2014/main" xmlns="" id="{00000000-0008-0000-0F00-000002000000}"/>
            </a:ext>
          </a:extLst>
        </xdr:cNvPr>
        <xdr:cNvSpPr/>
      </xdr:nvSpPr>
      <xdr:spPr bwMode="auto">
        <a:xfrm>
          <a:off x="381000" y="390525"/>
          <a:ext cx="1704975" cy="323850"/>
        </a:xfrm>
        <a:prstGeom prst="rect">
          <a:avLst/>
        </a:prstGeom>
        <a:solidFill>
          <a:srgbClr val="00B0F0"/>
        </a:solidFill>
        <a:ln w="9525" cap="flat" cmpd="sng" algn="ctr">
          <a:noFill/>
        </a:ln>
      </xdr:spPr>
      <xdr:txBody>
        <a:bodyPr vertOverflow="clip" wrap="square" lIns="18288" tIns="0" rIns="0" bIns="0" rtlCol="0" anchor="ctr" upright="1"/>
        <a:lstStyle/>
        <a:p>
          <a:pPr algn="ctr"/>
          <a:r>
            <a:rPr lang="en-US" sz="1100">
              <a:solidFill>
                <a:sysClr val="windowText" lastClr="000000"/>
              </a:solidFill>
            </a:rPr>
            <a:t>  </a:t>
          </a:r>
          <a:r>
            <a:rPr lang="en-US" sz="1100">
              <a:solidFill>
                <a:sysClr val="windowText" lastClr="000000"/>
              </a:solidFill>
              <a:latin typeface="Times New Roman" panose="02020603050405020304" pitchFamily="18" charset="0"/>
              <a:cs typeface="Times New Roman" panose="02020603050405020304" pitchFamily="18" charset="0"/>
            </a:rPr>
            <a:t>Instructions</a:t>
          </a:r>
        </a:p>
      </xdr:txBody>
    </xdr:sp>
    <xdr:clientData fPrintsWithSheet="0"/>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sp macro="" textlink="">
      <xdr:nvSpPr>
        <xdr:cNvPr id="3" name="Rectangle 2">
          <a:hlinkClick xmlns:r="http://schemas.openxmlformats.org/officeDocument/2006/relationships" r:id="rId1"/>
          <a:extLst>
            <a:ext uri="{FF2B5EF4-FFF2-40B4-BE49-F238E27FC236}">
              <a16:creationId xmlns:a16="http://schemas.microsoft.com/office/drawing/2014/main" xmlns="" id="{00000000-0008-0000-1000-000003000000}"/>
            </a:ext>
          </a:extLst>
        </xdr:cNvPr>
        <xdr:cNvSpPr/>
      </xdr:nvSpPr>
      <xdr:spPr bwMode="auto">
        <a:xfrm>
          <a:off x="2990850" y="571500"/>
          <a:ext cx="1628775" cy="438150"/>
        </a:xfrm>
        <a:prstGeom prst="rect">
          <a:avLst/>
        </a:prstGeom>
        <a:solidFill>
          <a:srgbClr val="00B0F0"/>
        </a:solidFill>
        <a:ln w="9525" cap="flat" cmpd="sng" algn="ctr">
          <a:noFill/>
        </a:ln>
      </xdr:spPr>
      <xdr:txBody>
        <a:bodyPr vertOverflow="clip" wrap="square" lIns="18288" tIns="0" rIns="0" bIns="0" rtlCol="0" anchor="ctr" upright="1"/>
        <a:lstStyle/>
        <a:p>
          <a:pPr algn="ctr"/>
          <a:r>
            <a:rPr lang="en-US" sz="1100">
              <a:solidFill>
                <a:sysClr val="windowText" lastClr="000000"/>
              </a:solidFill>
            </a:rPr>
            <a:t>  </a:t>
          </a:r>
          <a:r>
            <a:rPr lang="en-US" sz="1100">
              <a:solidFill>
                <a:sysClr val="windowText" lastClr="000000"/>
              </a:solidFill>
              <a:latin typeface="Times New Roman" panose="02020603050405020304" pitchFamily="18" charset="0"/>
              <a:cs typeface="Times New Roman" panose="02020603050405020304" pitchFamily="18" charset="0"/>
            </a:rPr>
            <a:t>Instructions</a:t>
          </a:r>
        </a:p>
      </xdr:txBody>
    </xdr:sp>
    <xdr:clientData fPrint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23EXPBU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24DESEGBUD.xlsm"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Cover"/>
      <sheetName val="District Contacts"/>
      <sheetName val="Page 1"/>
      <sheetName val="Page 2"/>
      <sheetName val="Page 3"/>
      <sheetName val="Page 4"/>
      <sheetName val="Page 5"/>
      <sheetName val="Page 6"/>
      <sheetName val="Page 7"/>
      <sheetName val="Page 8"/>
      <sheetName val="Supplement"/>
      <sheetName val="Summary Page 1"/>
      <sheetName val="Summary Page 2"/>
      <sheetName val="Truth in Tax"/>
      <sheetName val="Data Entry"/>
      <sheetName val="Calculations"/>
      <sheetName val="BSA55"/>
      <sheetName val="Instructions"/>
      <sheetName val="2023EXPBUD"/>
    </sheetNames>
    <definedNames>
      <definedName name="AdjTNTBaseLimit" refersTo="='Truth in Tax'!$I$7"/>
      <definedName name="BudgIncrDesegExp" refersTo="='Page 7'!$J$35"/>
      <definedName name="BudgIncrDropPrevProg" refersTo="='Page 7'!$J$38"/>
      <definedName name="BudgIncrJCTEVEC" refersTo="='Page 7'!$J$41"/>
      <definedName name="BudgIncrTuitOutDebtServ" refersTo="='Page 7'!$J$36"/>
      <definedName name="CSFBLBudgFY" refersTo="='Page 3'!$D$38" sheetId="4"/>
      <definedName name="CYTRCL" refersTo="='BSA55'!$E$103"/>
      <definedName name="EstimatedFTECertified" refersTo="='Page 2'!$G$28"/>
      <definedName name="ExcessTNTLimit" refersTo="='Truth in Tax'!$I$25"/>
      <definedName name="F001P100F1000" refersTo="='Page 1'!$L$7"/>
      <definedName name="F001P100F1000OthBudgFY" refersTo="='Summary Page 1'!$F$32"/>
      <definedName name="F001P100F1000Personnel" refersTo="='Page 1'!$E$8"/>
      <definedName name="F001P100F1000SBBudgFY" refersTo="='Summary Page 1'!$D$32"/>
      <definedName name="F001P100F2100" refersTo="='Page 1'!$L$9"/>
      <definedName name="F001P100F2100OthBudgFY" refersTo="='Summary Page 1'!$F$34"/>
      <definedName name="F001P100F2100Personnel" refersTo="='Page 1'!$E$10"/>
      <definedName name="F001P100F2100SBBudgFY" refersTo="='Summary Page 1'!$D$34"/>
      <definedName name="F001P100F2200" refersTo="='Page 1'!$L$11"/>
      <definedName name="F001P100F2200OthBudgFY" refersTo="='Summary Page 1'!$F$36"/>
      <definedName name="F001P100F2200Personnel" refersTo="='Page 1'!$E$11"/>
      <definedName name="F001P100F2200SBBudgFY" refersTo="='Summary Page 1'!$D$36"/>
      <definedName name="F001P100F2300" refersTo="='Page 1'!$L$12"/>
      <definedName name="F001P100F230024002500OthBudgFY" refersTo="='Summary Page 1'!$F$37"/>
      <definedName name="F001P100F230024002500SBBudgFY" refersTo="='Summary Page 1'!$D$37"/>
      <definedName name="F001P100F2300Personnel" refersTo="='Page 1'!$E$12"/>
      <definedName name="F001P100F2400" refersTo="='Page 1'!$L$13"/>
      <definedName name="F001P100F2400Personnel" refersTo="='Page 1'!$E$13"/>
      <definedName name="F001P100F2500" refersTo="='Page 1'!$L$14"/>
      <definedName name="F001P100F2500Personnel" refersTo="='Page 1'!$E$14"/>
      <definedName name="F001P100F2600" refersTo="='Page 1'!$L$15"/>
      <definedName name="F001P100F2600OthBudgFY" refersTo="='Summary Page 1'!$F$38"/>
      <definedName name="F001P100F2600Personnel" refersTo="='Page 1'!$E$15"/>
      <definedName name="F001P100F2600SBBudgFY" refersTo="='Summary Page 1'!$D$38"/>
      <definedName name="F001P100F2900" refersTo="='Page 1'!$L$16"/>
      <definedName name="F001P100F2900OthBudgFY" refersTo="='Summary Page 1'!$F$39"/>
      <definedName name="F001P100F2900Personnel" refersTo="='Page 1'!$E$16"/>
      <definedName name="F001P100F2900SBBudgFY" refersTo="='Summary Page 1'!$D$39"/>
      <definedName name="F001P100F3000" refersTo="='Page 1'!$L$17"/>
      <definedName name="F001P100F3000OthBudgFY" refersTo="='Summary Page 1'!$F$40"/>
      <definedName name="F001P100F3000Personnel" refersTo="='Page 1'!$E$17"/>
      <definedName name="F001P100F3000SBBudgFY" refersTo="='Summary Page 1'!$D$40"/>
      <definedName name="F001P200F1000" refersTo="='Page 1'!$L$23"/>
      <definedName name="F001P200F1000OthBudgFY" refersTo="='Summary Page 1'!$F$45"/>
      <definedName name="F001P200F1000Personnel" refersTo="='Page 1'!$E$24"/>
      <definedName name="F001P200F1000SBBudgFY" refersTo="='Summary Page 1'!$D$45"/>
      <definedName name="F001P200F2100" refersTo="='Page 1'!$L$25"/>
      <definedName name="F001P200F2100OthBudgFY" refersTo="='Summary Page 1'!$F$47"/>
      <definedName name="F001P200F2100Personnel" refersTo="='Page 1'!$E$26"/>
      <definedName name="F001P200F2100SBBudgFY" refersTo="='Summary Page 1'!$D$47"/>
      <definedName name="F001P200F2200" refersTo="='Page 1'!$L$27"/>
      <definedName name="F001P200F2200OthBudgFY" refersTo="='Summary Page 1'!$F$49"/>
      <definedName name="F001P200F2200Personnel" refersTo="='Page 1'!$E$27"/>
      <definedName name="F001P200F2200SBBudgFY" refersTo="='Summary Page 1'!$D$49"/>
      <definedName name="F001P200F2300" refersTo="='Page 1'!$L$28"/>
      <definedName name="F001P200F230024002500OthBudgFY" refersTo="='Summary Page 1'!$F$50"/>
      <definedName name="F001P200F230024002500SBBudgFY" refersTo="='Summary Page 1'!$D$50"/>
      <definedName name="F001P200F2300Personnel" refersTo="='Page 1'!$E$28"/>
      <definedName name="F001P200F2400" refersTo="='Page 1'!$L$29"/>
      <definedName name="F001P200F2400Personnel" refersTo="='Page 1'!$E$29"/>
      <definedName name="F001P200F2500" refersTo="='Page 1'!$L$30"/>
      <definedName name="F001P200F2500Personnel" refersTo="='Page 1'!$E$30"/>
      <definedName name="F001P200F2600" refersTo="='Page 1'!$L$31"/>
      <definedName name="F001P200F2600OthBudgFY" refersTo="='Summary Page 1'!$F$51"/>
      <definedName name="F001P200F2600Personnel" refersTo="='Page 1'!$E$31"/>
      <definedName name="F001P200F2600SBBudgFY" refersTo="='Summary Page 1'!$D$51"/>
      <definedName name="F001P200F2900" refersTo="='Page 1'!$L$32"/>
      <definedName name="F001P200F2900OthBudgFY" refersTo="='Summary Page 1'!$F$52"/>
      <definedName name="F001P200F2900Personnel" refersTo="='Page 1'!$E$32"/>
      <definedName name="F001P200F2900SBBudgFY" refersTo="='Summary Page 1'!$D$52"/>
      <definedName name="F001P200F3000" refersTo="='Page 1'!$L$33"/>
      <definedName name="F001P200F3000OthBudgFY" refersTo="='Summary Page 1'!$F$53"/>
      <definedName name="F001P200F3000Personnel" refersTo="='Page 1'!$E$33"/>
      <definedName name="F001P200F3000SBBudgFY" refersTo="='Summary Page 1'!$D$53"/>
      <definedName name="F001P200Subtotal" refersTo="='Page 2'!$G$7"/>
      <definedName name="F001P400" refersTo="='Page 1'!$L$35"/>
      <definedName name="F001P400OthBudgFy" refersTo="='Summary Page 1'!$F$55"/>
      <definedName name="F001P400Personnel" refersTo="='Page 1'!$E$35"/>
      <definedName name="F001P400SBBudgFY" refersTo="='Summary Page 1'!$D$55"/>
      <definedName name="F001P510OthBudgFY" refersTo="='Summary Page 1'!$F$56"/>
      <definedName name="F001P510SBBudgFY" refersTo="='Summary Page 1'!$D$56"/>
      <definedName name="F001P530" refersTo="='Page 1'!$L$38"/>
      <definedName name="F001P530OthBudgFY" refersTo="='Summary Page 1'!$F$57"/>
      <definedName name="F001P530Personnel" refersTo="='Page 1'!$E$38"/>
      <definedName name="F001P530SBBudgFY" refersTo="='Summary Page 1'!$D$57"/>
      <definedName name="F001P540" refersTo="='Page 1'!$L$39"/>
      <definedName name="F001P540OthBudgFY" refersTo="='Summary Page 1'!$F$58"/>
      <definedName name="F001P540Personnel" refersTo="='Page 1'!$E$39"/>
      <definedName name="F001P540SBBudgFY" refersTo="='Summary Page 1'!$D$58"/>
      <definedName name="F001P550" refersTo="='Page 1'!$L$41"/>
      <definedName name="F001P550OthBudgFY" refersTo="='Summary Page 1'!$F$60"/>
      <definedName name="F001P550Personnel" refersTo="='Page 1'!$E$41"/>
      <definedName name="F001P550SBBudgFY" refersTo="='Summary Page 1'!$D$60"/>
      <definedName name="F001P610" refersTo="='Page 1'!$L$18"/>
      <definedName name="F001P610OthBudgFY" refersTo="='Summary Page 1'!$F$41"/>
      <definedName name="F001P610Personnel" refersTo="='Page 1'!$E$18"/>
      <definedName name="F001P610SBBudgFY" refersTo="='Summary Page 1'!$D$41"/>
      <definedName name="F001P620" refersTo="='Page 1'!$L$19"/>
      <definedName name="F001P620OthBudgFY" refersTo="='Summary Page 1'!$F$42"/>
      <definedName name="F001P620Personnel" refersTo="='Page 1'!$E$19"/>
      <definedName name="F001P620SBBudgFY" refersTo="='Summary Page 1'!$D$42"/>
      <definedName name="F001P630" refersTo="='Page 1'!$L$20"/>
      <definedName name="F001P630700800900OthBudgFY" refersTo="='Summary Page 1'!$F$43"/>
      <definedName name="F001P630700800900SBBudgFY" refersTo="='Summary Page 1'!$D$43"/>
      <definedName name="F001P630Personnel" refersTo="='Page 1'!$E$20"/>
      <definedName name="F001P700800900" refersTo="='Page 1'!$L$21"/>
      <definedName name="F001P700800900Personnel" refersTo="='Page 1'!$E$21"/>
      <definedName name="F001TotalExp" refersTo="='Page 1'!$L$42"/>
      <definedName name="F010F1000" refersTo="='Page 3'!$K$6"/>
      <definedName name="F010F2100" refersTo="='Page 3'!$K$7"/>
      <definedName name="F010F2200" refersTo="='Page 3'!$K$8"/>
      <definedName name="F010F2310" refersTo="='Page 3'!$K$9"/>
      <definedName name="F010F2510" refersTo="='Page 3'!$K$10"/>
      <definedName name="F010F3300" refersTo="='Page 3'!$K$11"/>
      <definedName name="F010F4000" refersTo="='Page 3'!$K$12"/>
      <definedName name="F010F5000" refersTo="='Page 3'!$K$13"/>
      <definedName name="F010TotalExp" refersTo="='Page 3'!$K$14"/>
      <definedName name="F020ClassSizeRedBudgFY" refersTo="='Page 6'!$H$42"/>
      <definedName name="F020DropPrevProgBudgFY" refersTo="='Page 6'!$H$43"/>
      <definedName name="F020InstrImprProgBudgFY" refersTo="='Page 6'!$H$44"/>
      <definedName name="F020TeachCompIncrBudgFY" refersTo="='Page 6'!$H$41"/>
      <definedName name="F050BudgFY" refersTo="='Page 6'!$T$5"/>
      <definedName name="F071F1000" refersTo="='Supplement'!$M$7"/>
      <definedName name="F071F1000Personnel" refersTo="='Supplement'!$E$8"/>
      <definedName name="F071F2100" refersTo="='Supplement'!$M$9"/>
      <definedName name="F071F2100Personnel" refersTo="='Supplement'!$E$10"/>
      <definedName name="F071F2200" refersTo="='Supplement'!$M$11"/>
      <definedName name="F071F2200Personnel" refersTo="='Supplement'!$E$11"/>
      <definedName name="F071F2300" refersTo="='Supplement'!$M$12"/>
      <definedName name="F071F2300Personnel" refersTo="='Supplement'!$E$12"/>
      <definedName name="F071F2400" refersTo="='Supplement'!$M$13"/>
      <definedName name="F071F2400Personnel" refersTo="='Supplement'!$E$13"/>
      <definedName name="F071F2500" refersTo="='Supplement'!$M$14"/>
      <definedName name="F071F2500Personnel" refersTo="='Supplement'!$E$14"/>
      <definedName name="F071F2600" refersTo="='Supplement'!$M$15"/>
      <definedName name="F071F2600Personnel" refersTo="='Supplement'!$E$15"/>
      <definedName name="F071F2700" refersTo="='Supplement'!$M$16"/>
      <definedName name="F071F2700Personnel" refersTo="='Supplement'!$E$16"/>
      <definedName name="F071F2900" refersTo="='Supplement'!$M$17"/>
      <definedName name="F071F2900Personnel" refersTo="='Supplement'!$E$17"/>
      <definedName name="F072F1000" refersTo="='Supplement'!$M$19"/>
      <definedName name="F072F1000Personnel" refersTo="='Supplement'!$E$20"/>
      <definedName name="F072F2100" refersTo="='Supplement'!$M$21"/>
      <definedName name="F072F2100Personnel" refersTo="='Supplement'!$E$22"/>
      <definedName name="F072F2200" refersTo="='Supplement'!$M$23"/>
      <definedName name="F072F2200Personnel" refersTo="='Supplement'!$E$23"/>
      <definedName name="F072F2300" refersTo="='Supplement'!$M$24"/>
      <definedName name="F072F2300Personnel" refersTo="='Supplement'!$E$24"/>
      <definedName name="F072F2400" refersTo="='Supplement'!$M$25"/>
      <definedName name="F072F2400Personnel" refersTo="='Supplement'!$E$25"/>
      <definedName name="F072F2500" refersTo="='Supplement'!$M$26"/>
      <definedName name="F072F2500Personnel" refersTo="='Supplement'!$E$26"/>
      <definedName name="F072F2600" refersTo="='Supplement'!$M$27"/>
      <definedName name="F072F2600Personnel" refersTo="='Supplement'!$E$27"/>
      <definedName name="F072F2700" refersTo="='Supplement'!$M$28"/>
      <definedName name="F072F2700Personnel" refersTo="='Supplement'!$E$28"/>
      <definedName name="F072F2900" refersTo="='Supplement'!$M$29"/>
      <definedName name="F072F2900Personnel" refersTo="='Supplement'!$E$29"/>
      <definedName name="F100130BudgFY" refersTo="='Page 6'!$J$7"/>
      <definedName name="F100130Personnel" refersTo="='Page 6'!$G$7"/>
      <definedName name="F140150BudgFY" refersTo="='Page 6'!$J$8"/>
      <definedName name="F140150Personnel" refersTo="='Page 6'!$G$8"/>
      <definedName name="F160BudgFY" refersTo="='Page 6'!$J$9"/>
      <definedName name="F160Personnel" refersTo="='Page 6'!$G$9"/>
      <definedName name="F170180BudgFY" refersTo="='Page 6'!$J$10"/>
      <definedName name="F170180Personnel" refersTo="='Page 6'!$G$10"/>
      <definedName name="F190BudgFY" refersTo="='Page 6'!$J$11"/>
      <definedName name="F190Personnel" refersTo="='Page 6'!$G$11"/>
      <definedName name="F200BudgFY" refersTo="='Page 6'!$J$12"/>
      <definedName name="F200Personnel" refersTo="='Page 6'!$G$12"/>
      <definedName name="F210BudgFY" refersTo="='Page 6'!$J$13"/>
      <definedName name="F210Personnel" refersTo="='Page 6'!$G$13"/>
      <definedName name="F220BudgFY" refersTo="='Page 6'!$J$14"/>
      <definedName name="F220Personnel" refersTo="='Page 6'!$G$14"/>
      <definedName name="F230BudgFY" refersTo="='Page 6'!$J$15"/>
      <definedName name="F230Personnel" refersTo="='Page 6'!$G$15"/>
      <definedName name="F240BudgFY" refersTo="='Page 6'!$J$16"/>
      <definedName name="F240Personnel" refersTo="='Page 6'!$G$16"/>
      <definedName name="F250BudgFY" refersTo="='Page 6'!$J$17"/>
      <definedName name="F250Personnel" refersTo="='Page 6'!$G$17"/>
      <definedName name="F260270BudgFY" refersTo="='Page 6'!$J$18"/>
      <definedName name="F260270Personnel" refersTo="='Page 6'!$G$18"/>
      <definedName name="F280BudgFY" refersTo="='Page 6'!$J$19"/>
      <definedName name="F280Personnel" refersTo="='Page 6'!$G$19"/>
      <definedName name="F290BudgFY" refersTo="='Page 6'!$J$20"/>
      <definedName name="F290Personnel" refersTo="='Page 6'!$G$20"/>
      <definedName name="F300399OtherBudgFY" refersTo="='Page 6'!$J$23"/>
      <definedName name="F300399OtherPersonnel" refersTo="='Page 6'!$G$23"/>
      <definedName name="F374BudgFY" refersTo="='Page 6'!$J$21"/>
      <definedName name="F374Personnel" refersTo="='Page 6'!$G$21"/>
      <definedName name="F378BudgFY" refersTo="='Page 6'!$J$22"/>
      <definedName name="F378Personnel" refersTo="='Page 6'!$G$22"/>
      <definedName name="F400BudgFY" refersTo="='Page 6'!$J$26"/>
      <definedName name="F400Personnel" refersTo="='Page 6'!$G$26"/>
      <definedName name="F410BudgFY" refersTo="='Page 6'!$J$27"/>
      <definedName name="F410Personnel" refersTo="='Page 6'!$G$27"/>
      <definedName name="F420BudgFY" refersTo="='Page 6'!$J$28"/>
      <definedName name="F420Personnel" refersTo="='Page 6'!$G$28"/>
      <definedName name="F425BudgFY" refersTo="='Page 6'!$J$29"/>
      <definedName name="F425Personnel" refersTo="='Page 6'!$G$29"/>
      <definedName name="F430BudgFY" refersTo="='Page 6'!$J$30"/>
      <definedName name="F430Personnel" refersTo="='Page 6'!$G$30"/>
      <definedName name="F435BudgFY" refersTo="='Page 6'!$J$31"/>
      <definedName name="F435Personnel" refersTo="='Page 6'!$G$31"/>
      <definedName name="F450BudgFY" refersTo="='Page 6'!$J$32"/>
      <definedName name="F450Personnel" refersTo="='Page 6'!$G$32"/>
      <definedName name="F456BudgFY" refersTo="='Page 6'!$J$33"/>
      <definedName name="F456Personnel" refersTo="='Page 6'!$G$33"/>
      <definedName name="F460BudgFY" refersTo="='Page 6'!$J$35"/>
      <definedName name="F460Personnel" refersTo="='Page 6'!$G$35"/>
      <definedName name="F465499BudgFY" refersTo="='Page 6'!$J$36"/>
      <definedName name="F465499Personnel" refersTo="='Page 6'!$G$36"/>
      <definedName name="F500BudgFY" refersTo="='Page 6'!$T$8"/>
      <definedName name="F510BudgFY" refersTo="='Page 6'!$T$9"/>
      <definedName name="F515BudgFY" refersTo="='Page 6'!$T$10"/>
      <definedName name="F520BudgFY" refersTo="='Page 6'!$T$11"/>
      <definedName name="F525BudgFY" refersTo="='Page 6'!$T$12"/>
      <definedName name="F526BudgFY" refersTo="='Page 6'!$T$13"/>
      <definedName name="F530BudgFY" refersTo="='Page 6'!$T$14"/>
      <definedName name="F535BudgFY" refersTo="='Page 6'!$T$15"/>
      <definedName name="F540BudgFY" refersTo="='Page 6'!$T$16"/>
      <definedName name="F545BudgFY" refersTo="='Page 6'!$T$17"/>
      <definedName name="F550BudgFY" refersTo="='Page 6'!$T$18"/>
      <definedName name="F555BudgFY" refersTo="='Page 6'!$T$19"/>
      <definedName name="F565BudgFY" refersTo="='Page 6'!$T$20"/>
      <definedName name="F570BudgFY" refersTo="='Page 6'!$T$21"/>
      <definedName name="F575BudgFY" refersTo="='Page 6'!$T$22"/>
      <definedName name="F580BudgFY" refersTo="='Page 6'!$T$23"/>
      <definedName name="F585BudgFY" refersTo="='Page 6'!$T$24"/>
      <definedName name="F590BudgFY" refersTo="='Page 6'!$T$25"/>
      <definedName name="F595BudgFY" refersTo="='Page 6'!$T$26"/>
      <definedName name="F596BudgFY" refersTo="='Page 6'!$T$27"/>
      <definedName name="F597BudgFY" refersTo="='Page 6'!$T$28"/>
      <definedName name="F610BudgFYNewConstruction" refersTo="='Page 5'!$E$23"/>
      <definedName name="F610BudgFYO6150" refersTo="='Page 5'!$E$10"/>
      <definedName name="F610BudgFYO6200" refersTo="='Page 5'!$E$11"/>
      <definedName name="F610BudgFYO6450" refersTo="='Page 5'!$E$12"/>
      <definedName name="F610BudgFYO6710" refersTo="='Page 5'!$E$13"/>
      <definedName name="F610BudgFYO6720" refersTo="='Page 5'!$E$14"/>
      <definedName name="F610BudgFYO6731" refersTo="='Page 5'!$E$15"/>
      <definedName name="F610BudgFYO6734" refersTo="='Page 5'!$E$16"/>
      <definedName name="F610BudgFYO6737" refersTo="='Page 5'!$E$17"/>
      <definedName name="F610BudgFYO6831" refersTo="='Page 5'!$E$18"/>
      <definedName name="F610BudgFYO6841" refersTo="='Page 5'!$E$19"/>
      <definedName name="F610BudgFYOther" refersTo="='Page 5'!$E$24"/>
      <definedName name="F610BudgFYRenovation" refersTo="='Page 5'!$E$22"/>
      <definedName name="F610F1000" refersTo="='Page 4'!$K$9"/>
      <definedName name="F610F21002200" refersTo="='Page 4'!$K$11"/>
      <definedName name="F610F2300240025002900" refersTo="='Page 4'!$K$13"/>
      <definedName name="F610F2600" refersTo="='Page 4'!$K$14"/>
      <definedName name="F610F2700" refersTo="='Page 4'!$K$15"/>
      <definedName name="F610F3000" refersTo="='Page 4'!$K$16"/>
      <definedName name="F610F4000" refersTo="='Page 4'!$K$17"/>
      <definedName name="F610F5000" refersTo="='Page 4'!$K$18"/>
      <definedName name="F610Override" refersTo="='Page 4'!$K$8"/>
      <definedName name="F610TotalBudgFY" refersTo="='Page 4'!$K$19"/>
      <definedName name="F620BudgFYNewConstruction" refersTo="='Page 5'!$K$23"/>
      <definedName name="F620BudgFYO6150" refersTo="='Page 5'!$K$10"/>
      <definedName name="F620BudgFYO6200" refersTo="='Page 5'!$K$11"/>
      <definedName name="F620BudgFYO6450" refersTo="='Page 5'!$K$12"/>
      <definedName name="F620BudgFYO6710" refersTo="='Page 5'!$K$13"/>
      <definedName name="F620BudgFYO6720" refersTo="='Page 5'!$K$14"/>
      <definedName name="F620BudgFYO6731" refersTo="='Page 5'!$K$15"/>
      <definedName name="F620BudgFYO6734" refersTo="='Page 5'!$K$16"/>
      <definedName name="F620BudgFYO6737" refersTo="='Page 5'!$K$17"/>
      <definedName name="F620BudgFYO6831" refersTo="='Page 5'!$K$18"/>
      <definedName name="F620BudgFYO6841" refersTo="='Page 5'!$K$19"/>
      <definedName name="F620BudgFYOther" refersTo="='Page 5'!$K$24"/>
      <definedName name="F620BudgFYRenovation" refersTo="='Page 5'!$K$22"/>
      <definedName name="F620TotalBudgFY" refersTo="='Page 5'!$K$8"/>
      <definedName name="F630BudgFYNewConstruction" refersTo="='Page 5'!$G$23"/>
      <definedName name="F630BudgFYO6150" refersTo="='Page 5'!$G$10"/>
      <definedName name="F630BudgFYO6200" refersTo="='Page 5'!$G$11"/>
      <definedName name="F630BudgFYO6450" refersTo="='Page 5'!$G$12"/>
      <definedName name="F630BudgFYO6710" refersTo="='Page 5'!$G$13"/>
      <definedName name="F630BudgFYO6720" refersTo="='Page 5'!$G$14"/>
      <definedName name="F630BudgFYO6731" refersTo="='Page 5'!$G$15"/>
      <definedName name="F630BudgFYO6734" refersTo="='Page 5'!$G$16"/>
      <definedName name="F630BudgFYO6737" refersTo="='Page 5'!$G$17"/>
      <definedName name="F630BudgFYO6831" refersTo="='Page 5'!$G$18"/>
      <definedName name="F630BudgFYO6841" refersTo="='Page 5'!$G$19"/>
      <definedName name="F630BudgFYOther" refersTo="='Page 5'!$G$24"/>
      <definedName name="F630BudgFYRenovation" refersTo="='Page 5'!$G$22"/>
      <definedName name="F630TotalBudgFY" refersTo="='Page 5'!$G$8"/>
      <definedName name="F639BudgFY" refersTo="='Page 6'!$T$29"/>
      <definedName name="F650BudgFY" refersTo="='Page 6'!$T$30"/>
      <definedName name="F660BudgFY" refersTo="='Page 6'!$T$31"/>
      <definedName name="F665BudgFY" refersTo="='Page 6'!$T$32"/>
      <definedName name="F686BudgFY" refersTo="='Page 6'!$T$33"/>
      <definedName name="F691BudgFY" refersTo="='Page 6'!$T$34"/>
      <definedName name="F695BudgFYNewConstruction" refersTo="='Page 5'!$I$23"/>
      <definedName name="F695BudgFYO6150" refersTo="='Page 5'!$I$10"/>
      <definedName name="F695BudgFYO6200" refersTo="='Page 5'!$I$11"/>
      <definedName name="F695BudgFYO6450" refersTo="='Page 5'!$I$12"/>
      <definedName name="F695BudgFYO6710" refersTo="='Page 5'!$I$13"/>
      <definedName name="F695BudgFYO6720" refersTo="='Page 5'!$I$14"/>
      <definedName name="F695BudgFYO6731" refersTo="='Page 5'!$I$15"/>
      <definedName name="F695BudgFYO6734" refersTo="='Page 5'!$I$16"/>
      <definedName name="F695BudgFYO6737" refersTo="='Page 5'!$I$17"/>
      <definedName name="F695BudgFYO6831" refersTo="='Page 5'!$I$18"/>
      <definedName name="F695BudgFYO6841" refersTo="='Page 5'!$I$19"/>
      <definedName name="F695BudgFYOther" refersTo="='Page 5'!$I$24"/>
      <definedName name="F695TotalBudgFY" refersTo="='Page 5'!$I$8"/>
      <definedName name="F700BudgFY" refersTo="='Page 6'!$T$35"/>
      <definedName name="F720BudgFY" refersTo="='Page 6'!$T$36"/>
      <definedName name="F850BudgFY" refersTo="='Page 6'!$T$37"/>
      <definedName name="F9__OPEBBudgFY" refersTo="='Page 6'!$T$42"/>
      <definedName name="F9__OtherBudgFY" refersTo="='Page 6'!$T$43"/>
      <definedName name="F9__SelfInsBudgFY" refersTo="='Page 6'!$T$40"/>
      <definedName name="F955BudgFY" refersTo="='Page 6'!$T$41"/>
      <definedName name="GBLBudgFY" refersTo="='Page 7'!$J$56"/>
      <definedName name="IEPTransportCosts" refersTo="='Page 2'!$G$19"/>
      <definedName name="JTEDBudgFY" refersTo="='Page 2'!$G$14"/>
      <definedName name="OtherFundsBudgFY" refersTo="='Page 6'!$T$38"/>
      <definedName name="SpecProgOverride" refersTo="='Page 7'!$J$21"/>
      <definedName name="SPEDCareerEdBudgFY" refersTo="='Page 2'!$G$13"/>
      <definedName name="SPEDELLCompInstrBudgFY" refersTo="='Page 2'!$G$11"/>
      <definedName name="SPEDELLIncCostBudgFY" refersTo="='Page 2'!$G$10"/>
      <definedName name="SPEDGiftedEdBudgFY" refersTo="='Page 2'!$G$8"/>
      <definedName name="SPEDRemedialEdBudgFY" refersTo="='Page 2'!$G$9"/>
      <definedName name="SPEDVocTechEdBudgFY" refersTo="='Page 2'!$G$12"/>
      <definedName name="SummCTEDBY" refersTo="='Summary Page 2'!$E$32"/>
      <definedName name="TSL" refersTo="='BSA55'!$E$91"/>
      <definedName name="UCBLBudgFY" refersTo="='Page 8'!$K$32"/>
    </definedNames>
    <sheetDataSet>
      <sheetData sheetId="0">
        <row r="7">
          <cell r="L7" t="str">
            <v xml:space="preserve">  Intermediate</v>
          </cell>
          <cell r="M7" t="str">
            <v xml:space="preserve">2000    $ </v>
          </cell>
        </row>
        <row r="9">
          <cell r="L9" t="str">
            <v xml:space="preserve">  Federal</v>
          </cell>
          <cell r="M9" t="str">
            <v xml:space="preserve">4000    $ </v>
          </cell>
        </row>
        <row r="11">
          <cell r="K11" t="str">
            <v>3.</v>
          </cell>
          <cell r="L11" t="str">
            <v>District Tax Rates for Prior and Budget Fiscal Years (A.R.S. §15-903.D.4)</v>
          </cell>
        </row>
        <row r="13">
          <cell r="E13">
            <v>44732</v>
          </cell>
          <cell r="G13" t="str">
            <v/>
          </cell>
          <cell r="L13" t="str">
            <v xml:space="preserve">Primary Tax Rate:               </v>
          </cell>
        </row>
        <row r="14">
          <cell r="E14">
            <v>44753</v>
          </cell>
          <cell r="G14" t="str">
            <v/>
          </cell>
          <cell r="L14" t="str">
            <v xml:space="preserve">Secondary Tax Rates:           </v>
          </cell>
        </row>
        <row r="15">
          <cell r="E15">
            <v>45047</v>
          </cell>
          <cell r="G15" t="str">
            <v/>
          </cell>
          <cell r="L15" t="str">
            <v xml:space="preserve">   M&amp;O Override</v>
          </cell>
        </row>
        <row r="16">
          <cell r="E16" t="str">
            <v>Date</v>
          </cell>
          <cell r="L16" t="str">
            <v xml:space="preserve">   Special Program Override</v>
          </cell>
        </row>
        <row r="17">
          <cell r="L17" t="str">
            <v xml:space="preserve">   Capital Override</v>
          </cell>
        </row>
        <row r="18">
          <cell r="L18" t="str">
            <v xml:space="preserve">   Class A Bonds</v>
          </cell>
        </row>
        <row r="19">
          <cell r="L19" t="str">
            <v xml:space="preserve">   Class B Bonds</v>
          </cell>
        </row>
        <row r="20">
          <cell r="L20" t="str">
            <v xml:space="preserve">   CTED</v>
          </cell>
        </row>
        <row r="21">
          <cell r="L21" t="str">
            <v xml:space="preserve">   Desegregation</v>
          </cell>
        </row>
        <row r="23">
          <cell r="K23" t="str">
            <v>TOTAL BUDGETED EXPENDITURES AND AGGREGATE SCHOOL DISTRICT BUDGET LIMIT (A.R.S. §15-905.H)</v>
          </cell>
        </row>
        <row r="25">
          <cell r="L25" t="str">
            <v>Maintenance and Operation Fund (from pages 1, line 30 and 7, line 11)</v>
          </cell>
          <cell r="T25" t="str">
            <v/>
          </cell>
        </row>
        <row r="26">
          <cell r="T26" t="str">
            <v/>
          </cell>
        </row>
        <row r="27">
          <cell r="L27" t="str">
            <v>Federal Projects Other Than Impact Aid (from Budget, page 6, Federal Projects, line 18 minus line 16)</v>
          </cell>
        </row>
        <row r="28">
          <cell r="L28" t="str">
            <v>Total Aggregate School District Budget Limit (sum of lines 1 through 3)</v>
          </cell>
        </row>
        <row r="31">
          <cell r="L31" t="str">
            <v>Average salary of all teachers employed in FY 2023 (budget year)</v>
          </cell>
          <cell r="T31" t="str">
            <v/>
          </cell>
        </row>
        <row r="32">
          <cell r="K32" t="str">
            <v>2.</v>
          </cell>
          <cell r="L32" t="str">
            <v>Average salary of all teachers employed in FY 2022 (prior year)</v>
          </cell>
          <cell r="T32" t="b">
            <v>0</v>
          </cell>
        </row>
        <row r="33">
          <cell r="L33" t="str">
            <v>Increase in average teacher salary from the prior year</v>
          </cell>
        </row>
        <row r="34">
          <cell r="F34" t="str">
            <v>Susan Ochoa</v>
          </cell>
        </row>
        <row r="36">
          <cell r="F36" t="str">
            <v>Business Manager Name (Typed Name)</v>
          </cell>
        </row>
        <row r="38">
          <cell r="D38" t="str">
            <v>Heaven Terrazas</v>
          </cell>
        </row>
        <row r="40">
          <cell r="F40" t="str">
            <v>Email:</v>
          </cell>
        </row>
      </sheetData>
      <sheetData sheetId="1">
        <row r="7">
          <cell r="J7" t="str">
            <v/>
          </cell>
          <cell r="M7" t="str">
            <v>Hane Solutions (SchoolDex)</v>
          </cell>
        </row>
        <row r="8">
          <cell r="E8" t="str">
            <v>Ochoa</v>
          </cell>
          <cell r="G8" t="str">
            <v>sochoa@pearceschool.org</v>
          </cell>
        </row>
        <row r="9">
          <cell r="G9" t="str">
            <v>hterrazas@pearceschool.org</v>
          </cell>
          <cell r="M9" t="str">
            <v>JupiterEd (JupiterEd)</v>
          </cell>
        </row>
        <row r="11">
          <cell r="M11" t="str">
            <v>Mesa Distance Learning Program (MDLP)</v>
          </cell>
        </row>
        <row r="12">
          <cell r="E12" t="str">
            <v>Lawson</v>
          </cell>
          <cell r="G12" t="str">
            <v>tracy.lawson@vuhs.net</v>
          </cell>
          <cell r="M12" t="str">
            <v>Pearson (Connexus)</v>
          </cell>
        </row>
        <row r="13">
          <cell r="E13" t="str">
            <v>Parra</v>
          </cell>
          <cell r="G13" t="str">
            <v>reynap@vuhs.net</v>
          </cell>
          <cell r="M13" t="str">
            <v>PowerSchool (PowerSchool)</v>
          </cell>
        </row>
        <row r="14">
          <cell r="E14" t="str">
            <v>Parra</v>
          </cell>
          <cell r="G14" t="str">
            <v>reynap@vuhs.net</v>
          </cell>
          <cell r="M14" t="str">
            <v>Strongmind (Strongmind)</v>
          </cell>
        </row>
        <row r="15">
          <cell r="E15" t="str">
            <v>DeLaCruz</v>
          </cell>
          <cell r="G15" t="str">
            <v>lupe.delacruz@elfridaschools.org</v>
          </cell>
          <cell r="M15" t="str">
            <v>Tyler Technologies (Schoolmaster)</v>
          </cell>
        </row>
        <row r="16">
          <cell r="E16" t="str">
            <v>Noble</v>
          </cell>
          <cell r="G16" t="str">
            <v>davida.noble@vuhs.net</v>
          </cell>
          <cell r="M16" t="str">
            <v>Tyler Technologies (Tyler SIS v10)</v>
          </cell>
        </row>
        <row r="17">
          <cell r="E17" t="str">
            <v>Hart</v>
          </cell>
          <cell r="G17" t="str">
            <v>khart@pearceschool.org</v>
          </cell>
          <cell r="M17" t="str">
            <v>FOCUS School Software LLC</v>
          </cell>
        </row>
        <row r="19">
          <cell r="E19" t="str">
            <v>Anderson</v>
          </cell>
          <cell r="G19" t="str">
            <v>richard.anderson@vuhs.net</v>
          </cell>
        </row>
        <row r="20">
          <cell r="E20" t="str">
            <v>Quillen</v>
          </cell>
        </row>
        <row r="22">
          <cell r="E22" t="str">
            <v>Zamora</v>
          </cell>
        </row>
        <row r="23">
          <cell r="E23" t="str">
            <v>Essary</v>
          </cell>
        </row>
        <row r="24">
          <cell r="E24" t="str">
            <v>Paz</v>
          </cell>
        </row>
        <row r="25">
          <cell r="E25" t="str">
            <v>Garcia</v>
          </cell>
        </row>
        <row r="26">
          <cell r="E26" t="str">
            <v>Faccio</v>
          </cell>
        </row>
        <row r="32">
          <cell r="D32" t="str">
            <v>SELECT from Dropdown</v>
          </cell>
        </row>
        <row r="37">
          <cell r="D37" t="str">
            <v>Quickbooks</v>
          </cell>
        </row>
        <row r="39">
          <cell r="D39" t="str">
            <v>www.vuhs.net</v>
          </cell>
        </row>
      </sheetData>
      <sheetData sheetId="2">
        <row r="6">
          <cell r="K6">
            <v>2022</v>
          </cell>
        </row>
        <row r="7">
          <cell r="K7">
            <v>696000</v>
          </cell>
          <cell r="L7">
            <v>696000</v>
          </cell>
          <cell r="M7">
            <v>0</v>
          </cell>
        </row>
        <row r="8">
          <cell r="G8">
            <v>250000</v>
          </cell>
          <cell r="I8">
            <v>35000</v>
          </cell>
          <cell r="J8">
            <v>1000</v>
          </cell>
        </row>
        <row r="9">
          <cell r="K9">
            <v>35000</v>
          </cell>
          <cell r="L9">
            <v>35000</v>
          </cell>
          <cell r="M9">
            <v>0</v>
          </cell>
        </row>
        <row r="10">
          <cell r="G10">
            <v>5000</v>
          </cell>
        </row>
        <row r="11">
          <cell r="I11">
            <v>5000</v>
          </cell>
          <cell r="K11">
            <v>10000</v>
          </cell>
          <cell r="L11">
            <v>10000</v>
          </cell>
          <cell r="M11">
            <v>0</v>
          </cell>
        </row>
        <row r="12">
          <cell r="I12">
            <v>5000</v>
          </cell>
          <cell r="K12">
            <v>95000</v>
          </cell>
          <cell r="L12">
            <v>95000</v>
          </cell>
          <cell r="M12">
            <v>0</v>
          </cell>
        </row>
        <row r="13">
          <cell r="G13">
            <v>10000</v>
          </cell>
          <cell r="I13">
            <v>5000</v>
          </cell>
          <cell r="J13">
            <v>1000</v>
          </cell>
          <cell r="K13">
            <v>76000</v>
          </cell>
          <cell r="L13">
            <v>76000</v>
          </cell>
          <cell r="M13">
            <v>0</v>
          </cell>
        </row>
        <row r="14">
          <cell r="G14">
            <v>15000</v>
          </cell>
          <cell r="I14">
            <v>5000</v>
          </cell>
          <cell r="K14">
            <v>80000</v>
          </cell>
          <cell r="L14">
            <v>80000</v>
          </cell>
          <cell r="M14">
            <v>0</v>
          </cell>
        </row>
        <row r="15">
          <cell r="G15">
            <v>25000</v>
          </cell>
          <cell r="I15">
            <v>135000</v>
          </cell>
          <cell r="K15">
            <v>315000</v>
          </cell>
          <cell r="L15">
            <v>326041</v>
          </cell>
          <cell r="M15">
            <v>3.5000000000000003E-2</v>
          </cell>
        </row>
        <row r="16">
          <cell r="K16">
            <v>0</v>
          </cell>
          <cell r="L16">
            <v>0</v>
          </cell>
          <cell r="M16">
            <v>0</v>
          </cell>
        </row>
        <row r="17">
          <cell r="G17">
            <v>5000</v>
          </cell>
          <cell r="I17">
            <v>5000</v>
          </cell>
          <cell r="K17">
            <v>30000</v>
          </cell>
          <cell r="L17">
            <v>30000</v>
          </cell>
          <cell r="M17">
            <v>0</v>
          </cell>
        </row>
        <row r="18">
          <cell r="G18">
            <v>5000</v>
          </cell>
          <cell r="I18">
            <v>5000</v>
          </cell>
          <cell r="J18">
            <v>1000</v>
          </cell>
          <cell r="K18">
            <v>26000</v>
          </cell>
          <cell r="L18">
            <v>26000</v>
          </cell>
        </row>
        <row r="19">
          <cell r="G19">
            <v>15000</v>
          </cell>
          <cell r="I19">
            <v>20000</v>
          </cell>
          <cell r="J19">
            <v>5000</v>
          </cell>
          <cell r="K19">
            <v>90000</v>
          </cell>
          <cell r="L19">
            <v>90000</v>
          </cell>
          <cell r="M19">
            <v>0</v>
          </cell>
        </row>
        <row r="20">
          <cell r="L20">
            <v>0</v>
          </cell>
        </row>
        <row r="21">
          <cell r="L21">
            <v>0</v>
          </cell>
          <cell r="M21">
            <v>0</v>
          </cell>
        </row>
        <row r="22">
          <cell r="E22">
            <v>0</v>
          </cell>
          <cell r="G22">
            <v>330000</v>
          </cell>
          <cell r="J22">
            <v>8000</v>
          </cell>
          <cell r="K22">
            <v>1453000</v>
          </cell>
        </row>
        <row r="23">
          <cell r="K23">
            <v>178000</v>
          </cell>
          <cell r="L23">
            <v>178000</v>
          </cell>
          <cell r="M23">
            <v>0</v>
          </cell>
        </row>
        <row r="24">
          <cell r="G24">
            <v>35000</v>
          </cell>
          <cell r="I24">
            <v>15000</v>
          </cell>
        </row>
        <row r="25">
          <cell r="L25">
            <v>35000</v>
          </cell>
          <cell r="M25">
            <v>0</v>
          </cell>
        </row>
        <row r="27">
          <cell r="G27">
            <v>1000</v>
          </cell>
          <cell r="L27">
            <v>6000</v>
          </cell>
          <cell r="M27">
            <v>0</v>
          </cell>
        </row>
        <row r="28">
          <cell r="G28">
            <v>5000</v>
          </cell>
          <cell r="L28">
            <v>23000</v>
          </cell>
          <cell r="M28">
            <v>0</v>
          </cell>
        </row>
        <row r="29">
          <cell r="L29">
            <v>0</v>
          </cell>
          <cell r="M29">
            <v>0</v>
          </cell>
        </row>
        <row r="30">
          <cell r="L30">
            <v>0</v>
          </cell>
        </row>
        <row r="31">
          <cell r="L31">
            <v>45000</v>
          </cell>
        </row>
        <row r="32">
          <cell r="D32">
            <v>0</v>
          </cell>
          <cell r="K32">
            <v>0</v>
          </cell>
          <cell r="L32">
            <v>0</v>
          </cell>
        </row>
        <row r="33">
          <cell r="L33">
            <v>0</v>
          </cell>
        </row>
        <row r="34">
          <cell r="D34">
            <v>0</v>
          </cell>
          <cell r="F34">
            <v>145000</v>
          </cell>
        </row>
        <row r="35">
          <cell r="G35">
            <v>25000</v>
          </cell>
          <cell r="L35">
            <v>290000</v>
          </cell>
        </row>
        <row r="36">
          <cell r="D36">
            <v>0</v>
          </cell>
          <cell r="F36">
            <v>0</v>
          </cell>
          <cell r="G36">
            <v>0</v>
          </cell>
          <cell r="J36">
            <v>0</v>
          </cell>
        </row>
        <row r="38">
          <cell r="D38">
            <v>0</v>
          </cell>
          <cell r="L38">
            <v>0</v>
          </cell>
        </row>
        <row r="39">
          <cell r="D39">
            <v>0</v>
          </cell>
          <cell r="E39">
            <v>0</v>
          </cell>
          <cell r="F39">
            <v>0</v>
          </cell>
          <cell r="L39">
            <v>0</v>
          </cell>
        </row>
        <row r="41">
          <cell r="D41">
            <v>0</v>
          </cell>
          <cell r="L41">
            <v>0</v>
          </cell>
        </row>
        <row r="42">
          <cell r="D42">
            <v>0</v>
          </cell>
          <cell r="F42">
            <v>930000</v>
          </cell>
          <cell r="H42">
            <v>317041</v>
          </cell>
          <cell r="L42">
            <v>2041041</v>
          </cell>
        </row>
      </sheetData>
      <sheetData sheetId="3">
        <row r="7">
          <cell r="G7">
            <v>160000</v>
          </cell>
          <cell r="K7" t="str">
            <v>Expenditures Budgeted for Audit Services</v>
          </cell>
        </row>
        <row r="8">
          <cell r="K8" t="str">
            <v>M&amp;O Fund - Nonfederal</v>
          </cell>
        </row>
        <row r="9">
          <cell r="K9" t="str">
            <v>All Funds - Federal</v>
          </cell>
        </row>
        <row r="12">
          <cell r="K12" t="str">
            <v xml:space="preserve">FY 2023 Performance Pay (A.R.S. §15-920) </v>
          </cell>
        </row>
        <row r="13">
          <cell r="K13" t="str">
            <v>Amount Budgeted in M&amp;O Fund for a Performance Pay Component</v>
          </cell>
        </row>
        <row r="14">
          <cell r="G14">
            <v>127000</v>
          </cell>
        </row>
        <row r="15">
          <cell r="G15">
            <v>287000</v>
          </cell>
          <cell r="K15" t="str">
            <v>Do not report budgeted amounts for the Performance Pay Component of the Classroom Site Fund on this line.</v>
          </cell>
        </row>
        <row r="18">
          <cell r="K18" t="str">
            <v>Expenditures Budgeted in the M&amp;O Fund for Food Service</v>
          </cell>
        </row>
        <row r="19">
          <cell r="K19" t="str">
            <v>Amount budgeted in M&amp;O for Food Service (Fund 001, Function 3100)</v>
          </cell>
        </row>
        <row r="23">
          <cell r="G23">
            <v>17</v>
          </cell>
        </row>
        <row r="24">
          <cell r="G24">
            <v>17</v>
          </cell>
        </row>
        <row r="27">
          <cell r="G27" t="str">
            <v>Budget FY</v>
          </cell>
        </row>
        <row r="28">
          <cell r="E28" t="str">
            <v>Number of FTE - Certified Employees</v>
          </cell>
          <cell r="G28">
            <v>14</v>
          </cell>
        </row>
        <row r="29">
          <cell r="E29" t="str">
            <v>Number of FTE - Certified Purchased Services Personnel</v>
          </cell>
        </row>
      </sheetData>
      <sheetData sheetId="4">
        <row r="6">
          <cell r="K6">
            <v>184968</v>
          </cell>
        </row>
        <row r="7">
          <cell r="J7">
            <v>0</v>
          </cell>
          <cell r="K7">
            <v>0</v>
          </cell>
          <cell r="L7">
            <v>0</v>
          </cell>
          <cell r="M7" t="str">
            <v>2.</v>
          </cell>
        </row>
        <row r="8">
          <cell r="J8">
            <v>0</v>
          </cell>
          <cell r="K8">
            <v>0</v>
          </cell>
        </row>
        <row r="9">
          <cell r="J9">
            <v>0</v>
          </cell>
          <cell r="K9">
            <v>0</v>
          </cell>
          <cell r="L9">
            <v>0</v>
          </cell>
          <cell r="M9" t="str">
            <v>4.</v>
          </cell>
        </row>
        <row r="10">
          <cell r="J10">
            <v>0</v>
          </cell>
          <cell r="K10">
            <v>0</v>
          </cell>
        </row>
        <row r="11">
          <cell r="J11">
            <v>0</v>
          </cell>
          <cell r="K11">
            <v>0</v>
          </cell>
          <cell r="L11">
            <v>0</v>
          </cell>
          <cell r="M11" t="str">
            <v>6.</v>
          </cell>
        </row>
        <row r="12">
          <cell r="J12">
            <v>0</v>
          </cell>
          <cell r="K12">
            <v>0</v>
          </cell>
          <cell r="M12" t="str">
            <v>7.</v>
          </cell>
        </row>
        <row r="13">
          <cell r="J13">
            <v>0</v>
          </cell>
          <cell r="K13">
            <v>0</v>
          </cell>
          <cell r="M13" t="str">
            <v>8.</v>
          </cell>
        </row>
        <row r="14">
          <cell r="E14">
            <v>79968</v>
          </cell>
          <cell r="G14">
            <v>0</v>
          </cell>
          <cell r="I14">
            <v>0</v>
          </cell>
          <cell r="J14">
            <v>167004</v>
          </cell>
          <cell r="K14">
            <v>184968</v>
          </cell>
          <cell r="L14">
            <v>0.108</v>
          </cell>
          <cell r="M14" t="str">
            <v>9.</v>
          </cell>
        </row>
        <row r="16">
          <cell r="L16" t="str">
            <v>The district has budgeted an amount in Fund 010 equal to the Classroom Site Fund Budget Limit as calculated below.</v>
          </cell>
        </row>
        <row r="32">
          <cell r="D32">
            <v>117972</v>
          </cell>
          <cell r="E32" t="str">
            <v/>
          </cell>
        </row>
        <row r="35">
          <cell r="E35" t="str">
            <v/>
          </cell>
        </row>
        <row r="38">
          <cell r="D38">
            <v>184968</v>
          </cell>
        </row>
      </sheetData>
      <sheetData sheetId="5">
        <row r="6">
          <cell r="K6" t="str">
            <v>FY</v>
          </cell>
        </row>
        <row r="7">
          <cell r="G7" t="str">
            <v>6831, 6832, 6833</v>
          </cell>
          <cell r="I7" t="str">
            <v>(excluding 6900)</v>
          </cell>
          <cell r="J7">
            <v>2022</v>
          </cell>
          <cell r="K7">
            <v>2023</v>
          </cell>
          <cell r="L7" t="str">
            <v>Decrease</v>
          </cell>
        </row>
        <row r="8">
          <cell r="J8">
            <v>0</v>
          </cell>
          <cell r="K8">
            <v>0</v>
          </cell>
        </row>
        <row r="9">
          <cell r="J9">
            <v>200000</v>
          </cell>
          <cell r="K9">
            <v>100000</v>
          </cell>
          <cell r="L9">
            <v>-0.5</v>
          </cell>
        </row>
        <row r="10">
          <cell r="E10">
            <v>50000</v>
          </cell>
        </row>
        <row r="11">
          <cell r="J11">
            <v>100000</v>
          </cell>
          <cell r="K11">
            <v>51634</v>
          </cell>
          <cell r="L11">
            <v>-0.48399999999999999</v>
          </cell>
        </row>
        <row r="12">
          <cell r="E12">
            <v>25000</v>
          </cell>
          <cell r="L12">
            <v>0</v>
          </cell>
          <cell r="M12" t="str">
            <v>3.</v>
          </cell>
        </row>
        <row r="13">
          <cell r="J13">
            <v>50000</v>
          </cell>
          <cell r="K13">
            <v>25000</v>
          </cell>
          <cell r="L13">
            <v>-0.5</v>
          </cell>
          <cell r="M13" t="str">
            <v>4.</v>
          </cell>
        </row>
        <row r="14">
          <cell r="J14">
            <v>50000</v>
          </cell>
          <cell r="K14">
            <v>70000</v>
          </cell>
          <cell r="L14">
            <v>0.4</v>
          </cell>
          <cell r="M14" t="str">
            <v>5.</v>
          </cell>
        </row>
        <row r="15">
          <cell r="J15">
            <v>345366</v>
          </cell>
          <cell r="K15">
            <v>290534</v>
          </cell>
          <cell r="L15">
            <v>-0.159</v>
          </cell>
          <cell r="M15" t="str">
            <v>6.</v>
          </cell>
        </row>
        <row r="16">
          <cell r="J16">
            <v>50000</v>
          </cell>
          <cell r="K16">
            <v>25000</v>
          </cell>
          <cell r="L16">
            <v>-0.5</v>
          </cell>
          <cell r="M16" t="str">
            <v>7.</v>
          </cell>
        </row>
        <row r="17">
          <cell r="J17">
            <v>100000</v>
          </cell>
          <cell r="K17">
            <v>100000</v>
          </cell>
          <cell r="L17">
            <v>0</v>
          </cell>
          <cell r="M17" t="str">
            <v>8.</v>
          </cell>
        </row>
        <row r="18">
          <cell r="J18">
            <v>0</v>
          </cell>
          <cell r="K18">
            <v>0</v>
          </cell>
          <cell r="L18">
            <v>0</v>
          </cell>
        </row>
        <row r="19">
          <cell r="E19">
            <v>75000</v>
          </cell>
          <cell r="G19">
            <v>0</v>
          </cell>
          <cell r="I19">
            <v>0</v>
          </cell>
          <cell r="J19">
            <v>895366</v>
          </cell>
          <cell r="K19">
            <v>662168</v>
          </cell>
          <cell r="L19">
            <v>-0.26</v>
          </cell>
          <cell r="M19" t="str">
            <v>10.</v>
          </cell>
        </row>
        <row r="21">
          <cell r="E21" t="str">
            <v>The district has budgeted an amount in the UCO Fund equal to the Unrestricted Capital Budget Limit as calculated on Page 8 of 8.</v>
          </cell>
        </row>
        <row r="23">
          <cell r="E23" t="str">
            <v>(5)</v>
          </cell>
        </row>
        <row r="30">
          <cell r="E30" t="str">
            <v>(6)</v>
          </cell>
        </row>
        <row r="39">
          <cell r="E39" t="str">
            <v>, interest on capital leases of</v>
          </cell>
        </row>
      </sheetData>
      <sheetData sheetId="6">
        <row r="7">
          <cell r="G7" t="str">
            <v>Budget FY</v>
          </cell>
          <cell r="I7" t="str">
            <v>Budget FY</v>
          </cell>
          <cell r="J7" t="str">
            <v>Prior FY</v>
          </cell>
          <cell r="K7" t="str">
            <v>Budget FY</v>
          </cell>
        </row>
        <row r="8">
          <cell r="E8">
            <v>662168</v>
          </cell>
          <cell r="J8">
            <v>0</v>
          </cell>
        </row>
        <row r="10">
          <cell r="J10">
            <v>0</v>
          </cell>
        </row>
        <row r="11">
          <cell r="J11">
            <v>0</v>
          </cell>
          <cell r="L11" t="str">
            <v>3.</v>
          </cell>
        </row>
        <row r="12">
          <cell r="J12">
            <v>0</v>
          </cell>
          <cell r="L12" t="str">
            <v>4.</v>
          </cell>
        </row>
        <row r="13">
          <cell r="J13">
            <v>0</v>
          </cell>
          <cell r="L13" t="str">
            <v>5.</v>
          </cell>
        </row>
        <row r="14">
          <cell r="J14">
            <v>0</v>
          </cell>
          <cell r="L14" t="str">
            <v>6.</v>
          </cell>
        </row>
        <row r="15">
          <cell r="E15">
            <v>174449</v>
          </cell>
          <cell r="J15">
            <v>0</v>
          </cell>
          <cell r="L15" t="str">
            <v>7.</v>
          </cell>
        </row>
        <row r="16">
          <cell r="E16">
            <v>345366</v>
          </cell>
          <cell r="J16">
            <v>0</v>
          </cell>
          <cell r="L16" t="str">
            <v>8.</v>
          </cell>
        </row>
        <row r="17">
          <cell r="E17">
            <v>100000</v>
          </cell>
          <cell r="J17">
            <v>0</v>
          </cell>
          <cell r="L17" t="str">
            <v>9.</v>
          </cell>
        </row>
        <row r="18">
          <cell r="J18">
            <v>0</v>
          </cell>
          <cell r="L18" t="str">
            <v>10.</v>
          </cell>
        </row>
        <row r="19">
          <cell r="J19">
            <v>0</v>
          </cell>
          <cell r="L19" t="str">
            <v>11.</v>
          </cell>
        </row>
        <row r="20">
          <cell r="E20">
            <v>619815</v>
          </cell>
          <cell r="G20">
            <v>0</v>
          </cell>
          <cell r="J20">
            <v>0</v>
          </cell>
          <cell r="L20" t="str">
            <v>12.</v>
          </cell>
        </row>
        <row r="22">
          <cell r="J22">
            <v>0</v>
          </cell>
        </row>
        <row r="23">
          <cell r="J23">
            <v>0</v>
          </cell>
          <cell r="L23" t="str">
            <v>14.</v>
          </cell>
        </row>
        <row r="24">
          <cell r="E24">
            <v>619815</v>
          </cell>
        </row>
        <row r="25">
          <cell r="E25">
            <v>619815</v>
          </cell>
          <cell r="I25">
            <v>0</v>
          </cell>
          <cell r="L25" t="str">
            <v>16.</v>
          </cell>
        </row>
      </sheetData>
      <sheetData sheetId="7">
        <row r="7">
          <cell r="I7">
            <v>50000</v>
          </cell>
          <cell r="J7">
            <v>50000</v>
          </cell>
          <cell r="K7" t="str">
            <v>1.</v>
          </cell>
          <cell r="M7" t="str">
            <v>3.</v>
          </cell>
        </row>
        <row r="8">
          <cell r="I8">
            <v>5000</v>
          </cell>
          <cell r="J8">
            <v>5000</v>
          </cell>
          <cell r="K8" t="str">
            <v>2.</v>
          </cell>
          <cell r="T8">
            <v>5000</v>
          </cell>
        </row>
        <row r="9">
          <cell r="J9">
            <v>10000</v>
          </cell>
          <cell r="K9" t="str">
            <v>3.</v>
          </cell>
          <cell r="M9" t="str">
            <v>5.</v>
          </cell>
          <cell r="T9">
            <v>75000</v>
          </cell>
        </row>
        <row r="10">
          <cell r="I10">
            <v>0</v>
          </cell>
          <cell r="K10" t="str">
            <v>4.</v>
          </cell>
          <cell r="T10">
            <v>4300</v>
          </cell>
        </row>
        <row r="11">
          <cell r="I11">
            <v>0</v>
          </cell>
          <cell r="K11" t="str">
            <v>5.</v>
          </cell>
          <cell r="M11" t="str">
            <v>7.</v>
          </cell>
        </row>
        <row r="12">
          <cell r="I12">
            <v>0</v>
          </cell>
          <cell r="K12" t="str">
            <v>6.</v>
          </cell>
          <cell r="M12" t="str">
            <v>8.</v>
          </cell>
          <cell r="T12">
            <v>35000</v>
          </cell>
        </row>
        <row r="13">
          <cell r="I13">
            <v>0</v>
          </cell>
          <cell r="K13" t="str">
            <v>7.</v>
          </cell>
          <cell r="M13" t="str">
            <v>9.</v>
          </cell>
          <cell r="T13">
            <v>4000</v>
          </cell>
        </row>
        <row r="14">
          <cell r="I14">
            <v>25000</v>
          </cell>
          <cell r="J14">
            <v>25000</v>
          </cell>
          <cell r="K14" t="str">
            <v>8.</v>
          </cell>
          <cell r="M14" t="str">
            <v>10.</v>
          </cell>
          <cell r="T14">
            <v>10000</v>
          </cell>
        </row>
        <row r="15">
          <cell r="I15">
            <v>0</v>
          </cell>
          <cell r="K15" t="str">
            <v>9.</v>
          </cell>
          <cell r="M15" t="str">
            <v>11.</v>
          </cell>
        </row>
        <row r="16">
          <cell r="I16">
            <v>0</v>
          </cell>
          <cell r="K16" t="str">
            <v>10.</v>
          </cell>
          <cell r="M16" t="str">
            <v>12.</v>
          </cell>
        </row>
        <row r="17">
          <cell r="I17">
            <v>0</v>
          </cell>
          <cell r="K17" t="str">
            <v>11.</v>
          </cell>
          <cell r="M17" t="str">
            <v>13.</v>
          </cell>
        </row>
        <row r="18">
          <cell r="I18">
            <v>16000</v>
          </cell>
          <cell r="J18">
            <v>16000</v>
          </cell>
          <cell r="K18" t="str">
            <v>12.</v>
          </cell>
          <cell r="T18">
            <v>30000</v>
          </cell>
        </row>
        <row r="19">
          <cell r="I19">
            <v>0</v>
          </cell>
          <cell r="K19" t="str">
            <v>13.</v>
          </cell>
          <cell r="M19" t="str">
            <v>15.</v>
          </cell>
        </row>
        <row r="20">
          <cell r="T20">
            <v>7400</v>
          </cell>
        </row>
        <row r="21">
          <cell r="M21" t="str">
            <v>17.</v>
          </cell>
          <cell r="T21">
            <v>14000</v>
          </cell>
        </row>
        <row r="22">
          <cell r="K22" t="str">
            <v>16.</v>
          </cell>
          <cell r="T22">
            <v>11000</v>
          </cell>
        </row>
        <row r="23">
          <cell r="I23">
            <v>40000</v>
          </cell>
          <cell r="J23">
            <v>40000</v>
          </cell>
          <cell r="K23" t="str">
            <v>17.</v>
          </cell>
          <cell r="M23" t="str">
            <v>19.</v>
          </cell>
        </row>
        <row r="24">
          <cell r="G24">
            <v>0</v>
          </cell>
          <cell r="I24">
            <v>146000</v>
          </cell>
          <cell r="K24" t="str">
            <v>18.</v>
          </cell>
          <cell r="M24" t="str">
            <v>20.</v>
          </cell>
          <cell r="T24">
            <v>14000</v>
          </cell>
        </row>
        <row r="25">
          <cell r="I25">
            <v>4000</v>
          </cell>
          <cell r="M25" t="str">
            <v>21.</v>
          </cell>
        </row>
        <row r="26">
          <cell r="J26">
            <v>4000</v>
          </cell>
          <cell r="M26" t="str">
            <v>22.</v>
          </cell>
        </row>
        <row r="27">
          <cell r="M27" t="str">
            <v>23.</v>
          </cell>
          <cell r="T27">
            <v>100000</v>
          </cell>
        </row>
        <row r="28">
          <cell r="M28" t="str">
            <v>24.</v>
          </cell>
        </row>
        <row r="29">
          <cell r="M29" t="str">
            <v>25.</v>
          </cell>
        </row>
        <row r="32">
          <cell r="F32">
            <v>0</v>
          </cell>
          <cell r="K32" t="str">
            <v>25.</v>
          </cell>
        </row>
        <row r="34">
          <cell r="F34">
            <v>0</v>
          </cell>
          <cell r="T34">
            <v>200000</v>
          </cell>
        </row>
        <row r="35">
          <cell r="T35">
            <v>164000</v>
          </cell>
        </row>
        <row r="36">
          <cell r="F36">
            <v>0</v>
          </cell>
        </row>
        <row r="37">
          <cell r="F37">
            <v>0</v>
          </cell>
          <cell r="T37">
            <v>20000</v>
          </cell>
        </row>
        <row r="38">
          <cell r="F38">
            <v>0</v>
          </cell>
          <cell r="J38">
            <v>150000</v>
          </cell>
        </row>
        <row r="40">
          <cell r="F40" t="str">
            <v>Prior FY</v>
          </cell>
        </row>
        <row r="41">
          <cell r="F41">
            <v>16000</v>
          </cell>
          <cell r="H41">
            <v>16000</v>
          </cell>
          <cell r="J41" t="str">
            <v>1.</v>
          </cell>
          <cell r="T41">
            <v>25000</v>
          </cell>
        </row>
        <row r="42">
          <cell r="F42">
            <v>0</v>
          </cell>
        </row>
        <row r="43">
          <cell r="F43">
            <v>0</v>
          </cell>
          <cell r="T43">
            <v>7000</v>
          </cell>
        </row>
        <row r="45">
          <cell r="F45">
            <v>16000</v>
          </cell>
        </row>
      </sheetData>
      <sheetData sheetId="8">
        <row r="7">
          <cell r="J7" t="str">
            <v>Maintenance</v>
          </cell>
          <cell r="M7" t="str">
            <v>Unrestricted</v>
          </cell>
        </row>
        <row r="8">
          <cell r="J8" t="str">
            <v>and Operation</v>
          </cell>
        </row>
        <row r="10">
          <cell r="G10" t="str">
            <v>$</v>
          </cell>
          <cell r="I10" t="str">
            <v>$</v>
          </cell>
          <cell r="J10">
            <v>1059450</v>
          </cell>
        </row>
        <row r="14">
          <cell r="G14" t="str">
            <v>$</v>
          </cell>
        </row>
        <row r="15">
          <cell r="G15" t="str">
            <v>$</v>
          </cell>
        </row>
        <row r="17">
          <cell r="G17" t="str">
            <v>$</v>
          </cell>
          <cell r="M17">
            <v>64046</v>
          </cell>
        </row>
        <row r="19">
          <cell r="I19" t="str">
            <v xml:space="preserve"> </v>
          </cell>
        </row>
        <row r="23">
          <cell r="J23">
            <v>300948</v>
          </cell>
          <cell r="M23">
            <v>54052</v>
          </cell>
        </row>
        <row r="27">
          <cell r="J27">
            <v>181706</v>
          </cell>
          <cell r="M27">
            <v>151224</v>
          </cell>
        </row>
        <row r="36">
          <cell r="J36">
            <v>0</v>
          </cell>
        </row>
        <row r="56">
          <cell r="J56">
            <v>2041041</v>
          </cell>
        </row>
      </sheetData>
      <sheetData sheetId="9">
        <row r="7">
          <cell r="K7">
            <v>895366</v>
          </cell>
        </row>
        <row r="8">
          <cell r="J8" t="str">
            <v>$</v>
          </cell>
        </row>
        <row r="10">
          <cell r="J10" t="str">
            <v>$</v>
          </cell>
          <cell r="K10">
            <v>-300000</v>
          </cell>
        </row>
        <row r="11">
          <cell r="J11" t="str">
            <v>$</v>
          </cell>
          <cell r="K11">
            <v>595366</v>
          </cell>
        </row>
        <row r="13">
          <cell r="J13" t="str">
            <v>$</v>
          </cell>
          <cell r="K13">
            <v>895366</v>
          </cell>
        </row>
        <row r="14">
          <cell r="J14" t="str">
            <v>$</v>
          </cell>
          <cell r="K14">
            <v>595366</v>
          </cell>
        </row>
        <row r="16">
          <cell r="J16" t="str">
            <v>$</v>
          </cell>
          <cell r="K16">
            <v>204154</v>
          </cell>
        </row>
        <row r="17">
          <cell r="K17">
            <v>391212</v>
          </cell>
        </row>
        <row r="18">
          <cell r="G18" t="str">
            <v>--</v>
          </cell>
          <cell r="J18" t="str">
            <v>$</v>
          </cell>
        </row>
        <row r="19">
          <cell r="J19" t="str">
            <v>$</v>
          </cell>
        </row>
        <row r="20">
          <cell r="J20" t="str">
            <v>$</v>
          </cell>
        </row>
        <row r="27">
          <cell r="J27" t="str">
            <v>$</v>
          </cell>
        </row>
        <row r="28">
          <cell r="J28" t="str">
            <v>$</v>
          </cell>
        </row>
        <row r="30">
          <cell r="J30" t="str">
            <v>$</v>
          </cell>
        </row>
        <row r="32">
          <cell r="J32" t="str">
            <v>$</v>
          </cell>
          <cell r="K32">
            <v>662168</v>
          </cell>
        </row>
      </sheetData>
      <sheetData sheetId="10">
        <row r="6">
          <cell r="K6" t="str">
            <v>6800</v>
          </cell>
        </row>
        <row r="7">
          <cell r="L7">
            <v>0</v>
          </cell>
          <cell r="M7">
            <v>0</v>
          </cell>
        </row>
        <row r="9">
          <cell r="L9">
            <v>0</v>
          </cell>
          <cell r="M9">
            <v>0</v>
          </cell>
        </row>
        <row r="11">
          <cell r="L11">
            <v>0</v>
          </cell>
          <cell r="M11">
            <v>0</v>
          </cell>
        </row>
        <row r="12">
          <cell r="L12">
            <v>0</v>
          </cell>
          <cell r="M12">
            <v>0</v>
          </cell>
        </row>
        <row r="13">
          <cell r="L13">
            <v>0</v>
          </cell>
          <cell r="M13">
            <v>0</v>
          </cell>
        </row>
        <row r="14">
          <cell r="L14">
            <v>0</v>
          </cell>
          <cell r="M14">
            <v>0</v>
          </cell>
        </row>
        <row r="15">
          <cell r="L15">
            <v>0</v>
          </cell>
          <cell r="M15">
            <v>0</v>
          </cell>
        </row>
        <row r="16">
          <cell r="L16">
            <v>0</v>
          </cell>
          <cell r="M16">
            <v>0</v>
          </cell>
        </row>
        <row r="17">
          <cell r="L17">
            <v>0</v>
          </cell>
          <cell r="M17">
            <v>0</v>
          </cell>
        </row>
        <row r="18">
          <cell r="E18">
            <v>0</v>
          </cell>
          <cell r="G18">
            <v>0</v>
          </cell>
          <cell r="I18">
            <v>0</v>
          </cell>
          <cell r="K18">
            <v>0</v>
          </cell>
          <cell r="L18">
            <v>0</v>
          </cell>
        </row>
        <row r="19">
          <cell r="L19">
            <v>0</v>
          </cell>
          <cell r="M19">
            <v>0</v>
          </cell>
        </row>
        <row r="21">
          <cell r="L21">
            <v>0</v>
          </cell>
          <cell r="M21">
            <v>0</v>
          </cell>
        </row>
        <row r="23">
          <cell r="L23">
            <v>0</v>
          </cell>
          <cell r="M23">
            <v>0</v>
          </cell>
        </row>
        <row r="24">
          <cell r="M24">
            <v>0</v>
          </cell>
        </row>
        <row r="25">
          <cell r="L25">
            <v>0</v>
          </cell>
          <cell r="M25">
            <v>0</v>
          </cell>
        </row>
        <row r="26">
          <cell r="M26">
            <v>0</v>
          </cell>
        </row>
        <row r="27">
          <cell r="L27">
            <v>0</v>
          </cell>
          <cell r="M27">
            <v>0</v>
          </cell>
        </row>
        <row r="28">
          <cell r="L28">
            <v>0</v>
          </cell>
          <cell r="M28">
            <v>0</v>
          </cell>
        </row>
        <row r="29">
          <cell r="L29">
            <v>0</v>
          </cell>
          <cell r="M29">
            <v>0</v>
          </cell>
        </row>
        <row r="30">
          <cell r="E30">
            <v>0</v>
          </cell>
          <cell r="G30">
            <v>0</v>
          </cell>
          <cell r="L30">
            <v>0</v>
          </cell>
        </row>
      </sheetData>
      <sheetData sheetId="11">
        <row r="10">
          <cell r="E10" t="str">
            <v>1. Average salary of all teachers employed in FY 2023 (budget year)</v>
          </cell>
          <cell r="I10">
            <v>43911</v>
          </cell>
        </row>
        <row r="11">
          <cell r="E11" t="str">
            <v>2. Average salary of all teachers employed in FY 2022 (prior year)</v>
          </cell>
          <cell r="I11">
            <v>43050</v>
          </cell>
        </row>
        <row r="12">
          <cell r="E12" t="str">
            <v>3. Increase in average teacher salary from the prior year</v>
          </cell>
          <cell r="I12">
            <v>861</v>
          </cell>
        </row>
        <row r="13">
          <cell r="E13" t="str">
            <v xml:space="preserve">4. Percentage increase </v>
          </cell>
          <cell r="I13">
            <v>0.02</v>
          </cell>
        </row>
        <row r="15">
          <cell r="E15" t="str">
            <v xml:space="preserve">Comments on average salary calculation (Optional): </v>
          </cell>
        </row>
        <row r="28">
          <cell r="G28" t="str">
            <v xml:space="preserve"> </v>
          </cell>
        </row>
        <row r="29">
          <cell r="E29" t="str">
            <v>Other</v>
          </cell>
          <cell r="G29" t="str">
            <v>TOTAL</v>
          </cell>
        </row>
        <row r="30">
          <cell r="E30" t="str">
            <v>Prior FY</v>
          </cell>
          <cell r="G30" t="str">
            <v>Prior FY</v>
          </cell>
        </row>
        <row r="32">
          <cell r="D32">
            <v>650000</v>
          </cell>
          <cell r="E32">
            <v>46000</v>
          </cell>
          <cell r="F32">
            <v>46000</v>
          </cell>
          <cell r="G32">
            <v>696000</v>
          </cell>
        </row>
        <row r="34">
          <cell r="D34">
            <v>35000</v>
          </cell>
          <cell r="F34">
            <v>0</v>
          </cell>
        </row>
        <row r="36">
          <cell r="D36">
            <v>0</v>
          </cell>
          <cell r="F36">
            <v>10000</v>
          </cell>
          <cell r="G36">
            <v>10000</v>
          </cell>
        </row>
        <row r="37">
          <cell r="D37">
            <v>135000</v>
          </cell>
          <cell r="F37">
            <v>116000</v>
          </cell>
        </row>
        <row r="38">
          <cell r="D38">
            <v>110000</v>
          </cell>
          <cell r="E38">
            <v>205000</v>
          </cell>
          <cell r="F38">
            <v>216041</v>
          </cell>
        </row>
        <row r="39">
          <cell r="D39">
            <v>0</v>
          </cell>
          <cell r="E39">
            <v>0</v>
          </cell>
          <cell r="F39">
            <v>0</v>
          </cell>
        </row>
        <row r="40">
          <cell r="D40">
            <v>20000</v>
          </cell>
          <cell r="F40">
            <v>10000</v>
          </cell>
        </row>
        <row r="41">
          <cell r="D41">
            <v>20000</v>
          </cell>
          <cell r="E41">
            <v>6000</v>
          </cell>
          <cell r="F41">
            <v>6000</v>
          </cell>
          <cell r="H41">
            <v>26000</v>
          </cell>
        </row>
        <row r="42">
          <cell r="D42">
            <v>50000</v>
          </cell>
          <cell r="F42">
            <v>40000</v>
          </cell>
          <cell r="H42">
            <v>90000</v>
          </cell>
        </row>
        <row r="43">
          <cell r="D43">
            <v>0</v>
          </cell>
          <cell r="F43">
            <v>0</v>
          </cell>
          <cell r="H43">
            <v>0</v>
          </cell>
        </row>
        <row r="44">
          <cell r="H44">
            <v>1464041</v>
          </cell>
        </row>
        <row r="45">
          <cell r="D45">
            <v>160000</v>
          </cell>
          <cell r="F45">
            <v>18000</v>
          </cell>
        </row>
        <row r="47">
          <cell r="D47">
            <v>0</v>
          </cell>
          <cell r="F47">
            <v>35000</v>
          </cell>
        </row>
        <row r="49">
          <cell r="D49">
            <v>6000</v>
          </cell>
          <cell r="F49">
            <v>0</v>
          </cell>
        </row>
        <row r="50">
          <cell r="D50">
            <v>20000</v>
          </cell>
          <cell r="F50">
            <v>3000</v>
          </cell>
        </row>
        <row r="51">
          <cell r="D51">
            <v>0</v>
          </cell>
          <cell r="F51">
            <v>45000</v>
          </cell>
        </row>
        <row r="52">
          <cell r="D52">
            <v>0</v>
          </cell>
          <cell r="F52">
            <v>0</v>
          </cell>
        </row>
        <row r="53">
          <cell r="D53">
            <v>0</v>
          </cell>
          <cell r="F53">
            <v>0</v>
          </cell>
        </row>
        <row r="55">
          <cell r="D55">
            <v>120000</v>
          </cell>
          <cell r="F55">
            <v>170000</v>
          </cell>
        </row>
        <row r="56">
          <cell r="D56">
            <v>0</v>
          </cell>
          <cell r="F56">
            <v>0</v>
          </cell>
        </row>
        <row r="57">
          <cell r="D57">
            <v>0</v>
          </cell>
          <cell r="F57">
            <v>0</v>
          </cell>
        </row>
        <row r="58">
          <cell r="D58">
            <v>0</v>
          </cell>
          <cell r="F58">
            <v>0</v>
          </cell>
        </row>
        <row r="60">
          <cell r="D60">
            <v>0</v>
          </cell>
          <cell r="F60">
            <v>0</v>
          </cell>
        </row>
      </sheetData>
      <sheetData sheetId="12">
        <row r="7">
          <cell r="L7" t="str">
            <v>520  Community School</v>
          </cell>
          <cell r="M7">
            <v>0</v>
          </cell>
        </row>
        <row r="8">
          <cell r="E8">
            <v>0</v>
          </cell>
        </row>
        <row r="9">
          <cell r="L9" t="str">
            <v>530  Gifts and Donations</v>
          </cell>
          <cell r="M9">
            <v>10000</v>
          </cell>
        </row>
        <row r="10">
          <cell r="E10">
            <v>17964</v>
          </cell>
        </row>
        <row r="11">
          <cell r="E11">
            <v>0</v>
          </cell>
          <cell r="L11" t="str">
            <v>540  Fingerprint</v>
          </cell>
          <cell r="M11">
            <v>0</v>
          </cell>
        </row>
        <row r="12">
          <cell r="E12">
            <v>0</v>
          </cell>
          <cell r="L12" t="str">
            <v>545  School Opening</v>
          </cell>
          <cell r="M12">
            <v>0</v>
          </cell>
        </row>
        <row r="13">
          <cell r="E13">
            <v>-233198</v>
          </cell>
          <cell r="L13" t="str">
            <v>550  Insurance Proceeds</v>
          </cell>
          <cell r="M13">
            <v>30000</v>
          </cell>
        </row>
        <row r="14">
          <cell r="E14">
            <v>0</v>
          </cell>
          <cell r="L14" t="str">
            <v>555  Textbooks</v>
          </cell>
          <cell r="M14">
            <v>0</v>
          </cell>
        </row>
        <row r="15">
          <cell r="E15">
            <v>0</v>
          </cell>
          <cell r="L15" t="str">
            <v>565  Litigation Recovery</v>
          </cell>
          <cell r="M15">
            <v>7400</v>
          </cell>
        </row>
        <row r="16">
          <cell r="E16">
            <v>0</v>
          </cell>
          <cell r="G16" t="str">
            <v xml:space="preserve"> </v>
          </cell>
          <cell r="L16" t="str">
            <v>570  Indirect Costs</v>
          </cell>
          <cell r="M16">
            <v>14000</v>
          </cell>
        </row>
        <row r="17">
          <cell r="E17">
            <v>0</v>
          </cell>
          <cell r="L17" t="str">
            <v>575  Unemployment Insurance</v>
          </cell>
          <cell r="M17">
            <v>11000</v>
          </cell>
        </row>
        <row r="18">
          <cell r="E18">
            <v>0</v>
          </cell>
          <cell r="L18" t="str">
            <v>580  Teacherage</v>
          </cell>
        </row>
        <row r="19">
          <cell r="E19">
            <v>0</v>
          </cell>
          <cell r="L19" t="str">
            <v>585  Insurance Refund</v>
          </cell>
          <cell r="M19">
            <v>14000</v>
          </cell>
        </row>
        <row r="20">
          <cell r="E20">
            <v>0</v>
          </cell>
          <cell r="L20" t="str">
            <v>590  Grants and Gifts to Teachers</v>
          </cell>
        </row>
        <row r="21">
          <cell r="E21">
            <v>0</v>
          </cell>
          <cell r="L21" t="str">
            <v>595  Advertisement</v>
          </cell>
          <cell r="M21">
            <v>0</v>
          </cell>
        </row>
        <row r="23">
          <cell r="L23" t="str">
            <v>597  Arizona Industry Credentials Incentive</v>
          </cell>
          <cell r="M23">
            <v>0</v>
          </cell>
        </row>
        <row r="24">
          <cell r="E24" t="str">
            <v>Budget FY</v>
          </cell>
          <cell r="M24">
            <v>0</v>
          </cell>
        </row>
        <row r="25">
          <cell r="E25">
            <v>160000</v>
          </cell>
          <cell r="L25" t="str">
            <v>650  Gifts and Donations-Capital</v>
          </cell>
          <cell r="M25">
            <v>0</v>
          </cell>
        </row>
        <row r="26">
          <cell r="E26">
            <v>0</v>
          </cell>
          <cell r="M26">
            <v>0</v>
          </cell>
        </row>
        <row r="27">
          <cell r="E27">
            <v>0</v>
          </cell>
          <cell r="L27" t="str">
            <v>665  Energy and Water Savings</v>
          </cell>
          <cell r="M27">
            <v>0</v>
          </cell>
        </row>
        <row r="28">
          <cell r="E28">
            <v>0</v>
          </cell>
          <cell r="L28" t="str">
            <v>686  Emergency Deficiencies Correction</v>
          </cell>
          <cell r="M28">
            <v>0</v>
          </cell>
        </row>
        <row r="29">
          <cell r="E29">
            <v>0</v>
          </cell>
          <cell r="L29" t="str">
            <v>691  Building Renewal Grant</v>
          </cell>
          <cell r="M29">
            <v>200000</v>
          </cell>
        </row>
        <row r="30">
          <cell r="E30">
            <v>0</v>
          </cell>
          <cell r="L30" t="str">
            <v>720  Impact Aid Revenue Bond Debt Service</v>
          </cell>
        </row>
        <row r="31">
          <cell r="E31">
            <v>0</v>
          </cell>
          <cell r="L31" t="str">
            <v>850  Student Activities</v>
          </cell>
        </row>
        <row r="32">
          <cell r="D32">
            <v>127000</v>
          </cell>
          <cell r="E32">
            <v>127000</v>
          </cell>
          <cell r="L32" t="str">
            <v>Other ________________________________</v>
          </cell>
        </row>
        <row r="33">
          <cell r="E33">
            <v>287000</v>
          </cell>
          <cell r="L33" t="str">
            <v>9___ Self-Insurance</v>
          </cell>
        </row>
        <row r="35">
          <cell r="L35" t="str">
            <v>9__  OPEB</v>
          </cell>
        </row>
        <row r="36">
          <cell r="D36" t="str">
            <v>Purchased Services Personnel  FTE</v>
          </cell>
          <cell r="F36" t="str">
            <v>Total FTE</v>
          </cell>
          <cell r="G36" t="str">
            <v>Staff-Pupil Ratio</v>
          </cell>
        </row>
        <row r="38">
          <cell r="E38">
            <v>1</v>
          </cell>
          <cell r="F38">
            <v>1</v>
          </cell>
        </row>
        <row r="39">
          <cell r="E39">
            <v>14</v>
          </cell>
          <cell r="F39">
            <v>14</v>
          </cell>
        </row>
        <row r="40">
          <cell r="F40">
            <v>0</v>
          </cell>
        </row>
        <row r="41">
          <cell r="D41">
            <v>0</v>
          </cell>
          <cell r="E41">
            <v>15</v>
          </cell>
          <cell r="F41">
            <v>15</v>
          </cell>
          <cell r="H41">
            <v>6</v>
          </cell>
        </row>
        <row r="43">
          <cell r="F43">
            <v>1</v>
          </cell>
          <cell r="H43">
            <v>90</v>
          </cell>
        </row>
        <row r="44">
          <cell r="H44">
            <v>11.3</v>
          </cell>
        </row>
        <row r="45">
          <cell r="F45">
            <v>9</v>
          </cell>
        </row>
        <row r="47">
          <cell r="D47">
            <v>0</v>
          </cell>
          <cell r="F47">
            <v>33</v>
          </cell>
        </row>
        <row r="50">
          <cell r="F50">
            <v>1</v>
          </cell>
        </row>
        <row r="51">
          <cell r="F51">
            <v>1</v>
          </cell>
        </row>
      </sheetData>
      <sheetData sheetId="13">
        <row r="7">
          <cell r="I7">
            <v>355000</v>
          </cell>
        </row>
        <row r="8">
          <cell r="K8" t="str">
            <v>Primary Property Tax Rate Related to Budgeted Expenditures</v>
          </cell>
        </row>
        <row r="11">
          <cell r="I11">
            <v>0</v>
          </cell>
          <cell r="L11" t="str">
            <v/>
          </cell>
        </row>
        <row r="12">
          <cell r="I12">
            <v>0</v>
          </cell>
          <cell r="L12" t="str">
            <v/>
          </cell>
        </row>
        <row r="13">
          <cell r="I13">
            <v>0</v>
          </cell>
          <cell r="L13" t="str">
            <v/>
          </cell>
        </row>
        <row r="14">
          <cell r="I14">
            <v>355000</v>
          </cell>
          <cell r="L14" t="str">
            <v/>
          </cell>
        </row>
        <row r="18">
          <cell r="G18">
            <v>0</v>
          </cell>
        </row>
        <row r="19">
          <cell r="I19">
            <v>0</v>
          </cell>
        </row>
        <row r="22">
          <cell r="G22">
            <v>355000</v>
          </cell>
        </row>
        <row r="23">
          <cell r="I23">
            <v>0</v>
          </cell>
        </row>
        <row r="24">
          <cell r="I24">
            <v>355000</v>
          </cell>
        </row>
        <row r="25">
          <cell r="I25">
            <v>0</v>
          </cell>
        </row>
        <row r="29">
          <cell r="L29" t="str">
            <v/>
          </cell>
        </row>
        <row r="31">
          <cell r="L31" t="str">
            <v/>
          </cell>
        </row>
        <row r="36">
          <cell r="J36" t="str">
            <v>(2)</v>
          </cell>
        </row>
        <row r="38">
          <cell r="J38" t="str">
            <v>(2)</v>
          </cell>
        </row>
      </sheetData>
      <sheetData sheetId="14">
        <row r="8">
          <cell r="I8" t="str">
            <v>$</v>
          </cell>
          <cell r="J8">
            <v>2.83</v>
          </cell>
        </row>
        <row r="9">
          <cell r="J9">
            <v>2.3199999999999998</v>
          </cell>
        </row>
        <row r="10">
          <cell r="J10">
            <v>1.7133</v>
          </cell>
        </row>
        <row r="15">
          <cell r="G15" t="str">
            <v>PSD</v>
          </cell>
          <cell r="I15" t="str">
            <v>9-12</v>
          </cell>
          <cell r="J15" t="str">
            <v>Total</v>
          </cell>
        </row>
        <row r="16">
          <cell r="J16">
            <v>91.653999999999996</v>
          </cell>
        </row>
        <row r="17">
          <cell r="I17">
            <v>85.660200000000003</v>
          </cell>
          <cell r="J17">
            <v>85.660200000000003</v>
          </cell>
        </row>
        <row r="19">
          <cell r="I19">
            <v>79.213999999999999</v>
          </cell>
          <cell r="J19">
            <v>79.213999999999999</v>
          </cell>
          <cell r="K19" t="str">
            <v/>
          </cell>
        </row>
        <row r="20">
          <cell r="J20">
            <v>0</v>
          </cell>
        </row>
        <row r="21">
          <cell r="J21">
            <v>0</v>
          </cell>
        </row>
        <row r="22">
          <cell r="G22">
            <v>0</v>
          </cell>
          <cell r="J22">
            <v>79.213999999999999</v>
          </cell>
        </row>
        <row r="26">
          <cell r="G26" t="str">
            <v>Non-AOI Student Count</v>
          </cell>
        </row>
        <row r="31">
          <cell r="G31">
            <v>1.75</v>
          </cell>
        </row>
        <row r="42">
          <cell r="H42">
            <v>0</v>
          </cell>
        </row>
        <row r="45">
          <cell r="D45" t="str">
            <v>9-12</v>
          </cell>
        </row>
      </sheetData>
      <sheetData sheetId="15">
        <row r="9">
          <cell r="J9" t="str">
            <v>NOT DESIGNATED AS ISOLATED</v>
          </cell>
        </row>
        <row r="11">
          <cell r="I11" t="str">
            <v>9-12</v>
          </cell>
          <cell r="J11" t="str">
            <v>K-8</v>
          </cell>
          <cell r="L11" t="str">
            <v>9-12</v>
          </cell>
        </row>
        <row r="13">
          <cell r="I13">
            <v>1.669</v>
          </cell>
          <cell r="J13">
            <v>1.399</v>
          </cell>
          <cell r="L13">
            <v>1.5589999999999999</v>
          </cell>
        </row>
        <row r="15">
          <cell r="I15">
            <v>500</v>
          </cell>
          <cell r="J15">
            <v>500</v>
          </cell>
          <cell r="L15">
            <v>500</v>
          </cell>
        </row>
        <row r="16">
          <cell r="G16" t="str">
            <v>-</v>
          </cell>
          <cell r="I16">
            <v>0</v>
          </cell>
          <cell r="J16">
            <v>0</v>
          </cell>
          <cell r="L16">
            <v>0</v>
          </cell>
        </row>
        <row r="17">
          <cell r="G17" t="str">
            <v>=</v>
          </cell>
          <cell r="I17">
            <v>0</v>
          </cell>
          <cell r="J17">
            <v>0</v>
          </cell>
          <cell r="L17">
            <v>0</v>
          </cell>
        </row>
        <row r="18">
          <cell r="G18" t="str">
            <v>x</v>
          </cell>
          <cell r="I18">
            <v>5.0000000000000001E-4</v>
          </cell>
          <cell r="J18">
            <v>2.9999999999999997E-4</v>
          </cell>
          <cell r="L18">
            <v>4.0000000000000002E-4</v>
          </cell>
        </row>
        <row r="19">
          <cell r="G19" t="str">
            <v>=</v>
          </cell>
          <cell r="I19">
            <v>0</v>
          </cell>
          <cell r="J19">
            <v>0</v>
          </cell>
          <cell r="L19">
            <v>0</v>
          </cell>
        </row>
        <row r="20">
          <cell r="G20" t="str">
            <v>+</v>
          </cell>
          <cell r="J20">
            <v>1.278</v>
          </cell>
          <cell r="L20">
            <v>1.3979999999999999</v>
          </cell>
        </row>
        <row r="21">
          <cell r="G21" t="str">
            <v>=</v>
          </cell>
          <cell r="J21">
            <v>0</v>
          </cell>
          <cell r="L21">
            <v>0</v>
          </cell>
        </row>
        <row r="23">
          <cell r="I23">
            <v>600</v>
          </cell>
          <cell r="J23">
            <v>600</v>
          </cell>
          <cell r="L23">
            <v>600</v>
          </cell>
        </row>
        <row r="24">
          <cell r="G24" t="str">
            <v>-</v>
          </cell>
          <cell r="I24">
            <v>0</v>
          </cell>
        </row>
        <row r="25">
          <cell r="I25">
            <v>0</v>
          </cell>
          <cell r="L25">
            <v>0</v>
          </cell>
        </row>
        <row r="26">
          <cell r="G26" t="str">
            <v>x</v>
          </cell>
          <cell r="J26">
            <v>1.1999999999999999E-3</v>
          </cell>
        </row>
        <row r="27">
          <cell r="G27" t="str">
            <v>=</v>
          </cell>
          <cell r="J27">
            <v>0</v>
          </cell>
          <cell r="L27">
            <v>0</v>
          </cell>
        </row>
        <row r="28">
          <cell r="G28" t="str">
            <v>+</v>
          </cell>
          <cell r="J28">
            <v>1.1579999999999999</v>
          </cell>
          <cell r="L28">
            <v>1.268</v>
          </cell>
        </row>
        <row r="29">
          <cell r="G29" t="str">
            <v>=</v>
          </cell>
          <cell r="J29">
            <v>0</v>
          </cell>
          <cell r="L29">
            <v>0</v>
          </cell>
        </row>
        <row r="31">
          <cell r="J31">
            <v>1.1579999999999999</v>
          </cell>
          <cell r="L31">
            <v>1.268</v>
          </cell>
        </row>
        <row r="33">
          <cell r="L33">
            <v>1.339</v>
          </cell>
          <cell r="T33" t="str">
            <v>Total Weighted Student Count</v>
          </cell>
        </row>
        <row r="35">
          <cell r="T35" t="str">
            <v>Non-AOI</v>
          </cell>
        </row>
        <row r="36">
          <cell r="T36" t="str">
            <v>AOI FT*</v>
          </cell>
        </row>
        <row r="37">
          <cell r="T37" t="str">
            <v>AOI PT*</v>
          </cell>
        </row>
        <row r="38">
          <cell r="L38" t="str">
            <v>K-3</v>
          </cell>
          <cell r="T38" t="str">
            <v>Total</v>
          </cell>
        </row>
        <row r="39">
          <cell r="L39" t="str">
            <v>K-3 Reading</v>
          </cell>
        </row>
        <row r="49">
          <cell r="F49" t="str">
            <v>TABLE TO CALCULATE DAA PER STUDENT COUNT</v>
          </cell>
        </row>
        <row r="52">
          <cell r="F52" t="str">
            <v>DAA per Student Count</v>
          </cell>
        </row>
        <row r="55">
          <cell r="D55" t="str">
            <v>Student Count Constant</v>
          </cell>
        </row>
        <row r="56">
          <cell r="D56" t="str">
            <v xml:space="preserve">Student Count </v>
          </cell>
          <cell r="J56" t="str">
            <v>-</v>
          </cell>
        </row>
        <row r="57">
          <cell r="D57" t="str">
            <v>Difference</v>
          </cell>
        </row>
        <row r="58">
          <cell r="D58" t="str">
            <v>Weight Adjustment Factor</v>
          </cell>
        </row>
        <row r="60">
          <cell r="D60" t="str">
            <v xml:space="preserve">Support Level Weight  </v>
          </cell>
        </row>
      </sheetData>
      <sheetData sheetId="16">
        <row r="7">
          <cell r="G7">
            <v>0</v>
          </cell>
          <cell r="I7">
            <v>0</v>
          </cell>
        </row>
        <row r="8">
          <cell r="E8">
            <v>0</v>
          </cell>
          <cell r="G8">
            <v>0</v>
          </cell>
          <cell r="I8">
            <v>0</v>
          </cell>
        </row>
        <row r="9">
          <cell r="G9">
            <v>123.49460000000001</v>
          </cell>
        </row>
        <row r="10">
          <cell r="E10">
            <v>0</v>
          </cell>
        </row>
        <row r="11">
          <cell r="E11">
            <v>79.213999999999999</v>
          </cell>
        </row>
        <row r="12">
          <cell r="G12">
            <v>123.49460000000001</v>
          </cell>
          <cell r="I12">
            <v>0</v>
          </cell>
        </row>
        <row r="13">
          <cell r="I13">
            <v>123.49460000000001</v>
          </cell>
        </row>
        <row r="16">
          <cell r="E16" t="str">
            <v>AOI-PT 
ADM</v>
          </cell>
          <cell r="G16" t="str">
            <v>Non-AOI 
Weighted ADM</v>
          </cell>
          <cell r="I16" t="str">
            <v>AOI-PT
 Weighted ADM</v>
          </cell>
        </row>
        <row r="17">
          <cell r="E17">
            <v>0</v>
          </cell>
          <cell r="G17">
            <v>0</v>
          </cell>
          <cell r="I17">
            <v>0</v>
          </cell>
        </row>
        <row r="18">
          <cell r="E18">
            <v>0</v>
          </cell>
          <cell r="G18">
            <v>0</v>
          </cell>
          <cell r="I18">
            <v>0</v>
          </cell>
        </row>
        <row r="19">
          <cell r="E19">
            <v>0</v>
          </cell>
          <cell r="G19">
            <v>0</v>
          </cell>
          <cell r="I19">
            <v>0</v>
          </cell>
        </row>
        <row r="20">
          <cell r="E20">
            <v>0</v>
          </cell>
          <cell r="G20">
            <v>0</v>
          </cell>
        </row>
        <row r="21">
          <cell r="E21">
            <v>0</v>
          </cell>
          <cell r="G21">
            <v>10.542</v>
          </cell>
        </row>
        <row r="22">
          <cell r="E22">
            <v>0</v>
          </cell>
          <cell r="G22">
            <v>0</v>
          </cell>
        </row>
        <row r="23">
          <cell r="E23">
            <v>0</v>
          </cell>
          <cell r="G23">
            <v>0</v>
          </cell>
          <cell r="I23">
            <v>0</v>
          </cell>
        </row>
        <row r="24">
          <cell r="E24">
            <v>0</v>
          </cell>
          <cell r="G24">
            <v>0</v>
          </cell>
          <cell r="I24">
            <v>0</v>
          </cell>
        </row>
        <row r="25">
          <cell r="E25">
            <v>0</v>
          </cell>
          <cell r="I25">
            <v>0</v>
          </cell>
        </row>
        <row r="26">
          <cell r="E26">
            <v>0</v>
          </cell>
          <cell r="G26">
            <v>0</v>
          </cell>
        </row>
        <row r="27">
          <cell r="E27">
            <v>0</v>
          </cell>
          <cell r="G27">
            <v>4.0880000000000001</v>
          </cell>
        </row>
        <row r="28">
          <cell r="E28">
            <v>0</v>
          </cell>
          <cell r="G28">
            <v>0</v>
          </cell>
        </row>
        <row r="29">
          <cell r="E29">
            <v>0</v>
          </cell>
          <cell r="G29">
            <v>8.8420000000000005</v>
          </cell>
        </row>
        <row r="30">
          <cell r="E30">
            <v>0</v>
          </cell>
          <cell r="G30">
            <v>0</v>
          </cell>
        </row>
        <row r="31">
          <cell r="E31">
            <v>0</v>
          </cell>
          <cell r="G31">
            <v>0</v>
          </cell>
        </row>
        <row r="32">
          <cell r="D32">
            <v>0</v>
          </cell>
          <cell r="E32">
            <v>0</v>
          </cell>
        </row>
        <row r="33">
          <cell r="E33">
            <v>96.08</v>
          </cell>
        </row>
        <row r="37">
          <cell r="D37">
            <v>0</v>
          </cell>
          <cell r="F37">
            <v>1.7999999999999999E-2</v>
          </cell>
        </row>
        <row r="38">
          <cell r="L38" t="str">
            <v>020522000</v>
          </cell>
        </row>
        <row r="39">
          <cell r="D39" t="str">
            <v>Valley Union High School</v>
          </cell>
        </row>
        <row r="40">
          <cell r="D40" t="str">
            <v>Basic Calculations For Equalization Assistance</v>
          </cell>
        </row>
        <row r="41">
          <cell r="F41" t="str">
            <v>Is Small Isolated School District:</v>
          </cell>
          <cell r="L41" t="str">
            <v>District Page:</v>
          </cell>
        </row>
        <row r="43">
          <cell r="D43" t="str">
            <v>Non-AOI 
ADM</v>
          </cell>
          <cell r="F43" t="str">
            <v>AOI-FT 
ADM</v>
          </cell>
          <cell r="H43" t="str">
            <v>AOI-PT 
ADM</v>
          </cell>
        </row>
        <row r="44">
          <cell r="H44">
            <v>0</v>
          </cell>
        </row>
        <row r="45">
          <cell r="D45">
            <v>24.881900000000002</v>
          </cell>
          <cell r="F45">
            <v>0</v>
          </cell>
        </row>
        <row r="47">
          <cell r="D47">
            <v>1</v>
          </cell>
          <cell r="F47">
            <v>0.95</v>
          </cell>
        </row>
        <row r="91">
          <cell r="E91">
            <v>162846.51999999999</v>
          </cell>
        </row>
        <row r="103">
          <cell r="E103">
            <v>342795.99</v>
          </cell>
        </row>
      </sheetData>
      <sheetData sheetId="17">
        <row r="47">
          <cell r="D47" t="str">
            <v>Yes</v>
          </cell>
        </row>
        <row r="56">
          <cell r="D56" t="str">
            <v>Yes</v>
          </cell>
        </row>
        <row r="57">
          <cell r="D57" t="str">
            <v>Yes</v>
          </cell>
        </row>
      </sheetData>
      <sheetData sheetId="18"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Districtwide"/>
      <sheetName val="Template"/>
      <sheetName val="Instructions"/>
      <sheetName val="2024DESEGBUD"/>
    </sheetNames>
    <definedNames>
      <definedName name="DesegFTEBY" refersTo="='Districtwide'!$E$66"/>
      <definedName name="DesegFTEPY" refersTo="='Districtwide'!$D$66"/>
      <definedName name="DesegTotalMOBY" refersTo="='Districtwide'!$L$66"/>
      <definedName name="DesegTotalMOO6100" refersTo="='Districtwide'!$F$66"/>
      <definedName name="DesegTotalMOO6200" refersTo="='Districtwide'!$G$66"/>
      <definedName name="DesegTotalMOO630064006500" refersTo="='Districtwide'!$H$66"/>
      <definedName name="DesegTotalMOO6600" refersTo="='Districtwide'!$I$66"/>
      <definedName name="DesegTotalMOO6800" refersTo="='Districtwide'!$J$66"/>
      <definedName name="DesegTotalMOPercent" refersTo="='Districtwide'!$M$66"/>
      <definedName name="DesegTotalMOPY" refersTo="='Districtwide'!$K$66"/>
    </definedNames>
    <sheetDataSet>
      <sheetData sheetId="0">
        <row r="66">
          <cell r="D66">
            <v>0</v>
          </cell>
          <cell r="E66">
            <v>0</v>
          </cell>
          <cell r="F66">
            <v>0</v>
          </cell>
          <cell r="G66">
            <v>0</v>
          </cell>
          <cell r="H66">
            <v>0</v>
          </cell>
          <cell r="I66">
            <v>0</v>
          </cell>
          <cell r="J66">
            <v>0</v>
          </cell>
          <cell r="K66">
            <v>0</v>
          </cell>
          <cell r="L66">
            <v>0</v>
          </cell>
          <cell r="M66">
            <v>0</v>
          </cell>
        </row>
      </sheetData>
      <sheetData sheetId="1"/>
      <sheetData sheetId="2"/>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Users/cvotroubek/AppData/Local/Microsoft/Windows/INetCache/ryoung2/AppData/Local/Microsoft/Windows/INetCache/Content.Outlook/Prohibited%20formula%20characters/Files%20from%20ADE%203-27-23/Page3_13"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hyperlink" Target="../Users/cvotroubek/AppData/Local/Microsoft/Windows/INetCache/ryoung2/AppData/Local/Microsoft/Windows/INetCache/Content.Outlook/Prohibited%20formula%20characters/Files%20from%20ADE%203-27-23/TruthinTaxl10" TargetMode="External"/><Relationship Id="rId2" Type="http://schemas.openxmlformats.org/officeDocument/2006/relationships/hyperlink" Target="../Users/cvotroubek/AppData/Local/Microsoft/Windows/INetCache/ryoung2/AppData/Local/Microsoft/Windows/INetCache/Content.Outlook/Prohibited%20formula%20characters/Files%20from%20ADE%203-27-23/TruthinTaxl7" TargetMode="External"/><Relationship Id="rId1" Type="http://schemas.openxmlformats.org/officeDocument/2006/relationships/hyperlink" Target="../Users/cvotroubek/AppData/Local/Microsoft/Windows/INetCache/ryoung2/AppData/Local/Microsoft/Windows/INetCache/Content.Outlook/Prohibited%20formula%20characters/Files%20from%20ADE%203-27-23/TruthinTaxl6" TargetMode="External"/><Relationship Id="rId5" Type="http://schemas.openxmlformats.org/officeDocument/2006/relationships/drawing" Target="../drawings/drawing13.xml"/><Relationship Id="rId4"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Users/cvotroubek/AppData/Local/Microsoft/Windows/INetCache/ryoung2/AppData/Local/Microsoft/Windows/INetCache/Content.Outlook/Prohibited%20formula%20characters/Files%20from%20ADE%203-27-23/WkshtK2LIG" TargetMode="External"/><Relationship Id="rId1" Type="http://schemas.openxmlformats.org/officeDocument/2006/relationships/hyperlink" Target="../Users/cvotroubek/AppData/Local/Microsoft/Windows/INetCache/ryoung2/AppData/Local/Microsoft/Windows/INetCache/Content.Outlook/Prohibited%20formula%20characters/Files%20from%20ADE%203-27-23/WkshtK2LIG" TargetMode="External"/><Relationship Id="rId4"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8" Type="http://schemas.openxmlformats.org/officeDocument/2006/relationships/hyperlink" Target="http://www.azed.gov/mowr/" TargetMode="External"/><Relationship Id="rId13" Type="http://schemas.openxmlformats.org/officeDocument/2006/relationships/hyperlink" Target="mailto:SFBudgetTeam@azed.gov" TargetMode="External"/><Relationship Id="rId18" Type="http://schemas.openxmlformats.org/officeDocument/2006/relationships/hyperlink" Target="https://www.azed.gov/finance/fy-2022-gifted-add-payment" TargetMode="External"/><Relationship Id="rId3" Type="http://schemas.openxmlformats.org/officeDocument/2006/relationships/hyperlink" Target="http://www.azed.gov/finance/certificates-of-educational-convenience/" TargetMode="External"/><Relationship Id="rId7" Type="http://schemas.openxmlformats.org/officeDocument/2006/relationships/hyperlink" Target="http://www.azed.gov/finance/certificates-of-educational-convenience/" TargetMode="External"/><Relationship Id="rId12" Type="http://schemas.openxmlformats.org/officeDocument/2006/relationships/hyperlink" Target="mailto:SFBudgetTeam@azed.gov" TargetMode="External"/><Relationship Id="rId17" Type="http://schemas.openxmlformats.org/officeDocument/2006/relationships/hyperlink" Target="https://www.azed.gov/sites/default/files/2022/06/MO%20Override%20Estimator%20FY23.xlsm" TargetMode="External"/><Relationship Id="rId2" Type="http://schemas.openxmlformats.org/officeDocument/2006/relationships/hyperlink" Target="http://www.azed.gov/mowr/" TargetMode="External"/><Relationship Id="rId16" Type="http://schemas.openxmlformats.org/officeDocument/2006/relationships/hyperlink" Target="mailto:SFBudgetTeam@azed.gov" TargetMode="External"/><Relationship Id="rId20" Type="http://schemas.openxmlformats.org/officeDocument/2006/relationships/printerSettings" Target="../printerSettings/printerSettings18.bin"/><Relationship Id="rId1" Type="http://schemas.openxmlformats.org/officeDocument/2006/relationships/hyperlink" Target="mailto:SFPaymentTeam@azed.gov" TargetMode="External"/><Relationship Id="rId6" Type="http://schemas.openxmlformats.org/officeDocument/2006/relationships/hyperlink" Target="https://schoolfinancereports.azed.gov/" TargetMode="External"/><Relationship Id="rId11" Type="http://schemas.openxmlformats.org/officeDocument/2006/relationships/hyperlink" Target="mailto:SFPaymentTeam@azed.gov" TargetMode="External"/><Relationship Id="rId5" Type="http://schemas.openxmlformats.org/officeDocument/2006/relationships/hyperlink" Target="mailto:SFAnalystTeam@azed.gov" TargetMode="External"/><Relationship Id="rId15" Type="http://schemas.openxmlformats.org/officeDocument/2006/relationships/hyperlink" Target="mailto:SFBudgetTeam@azed.gov" TargetMode="External"/><Relationship Id="rId10" Type="http://schemas.openxmlformats.org/officeDocument/2006/relationships/hyperlink" Target="mailto:SFBudgetTeam@azed.gov" TargetMode="External"/><Relationship Id="rId19" Type="http://schemas.openxmlformats.org/officeDocument/2006/relationships/hyperlink" Target="https://schoolfinancereports.azed.gov/" TargetMode="External"/><Relationship Id="rId4" Type="http://schemas.openxmlformats.org/officeDocument/2006/relationships/hyperlink" Target="http://www.ade.az.gov/sder/publicreports.asp" TargetMode="External"/><Relationship Id="rId9" Type="http://schemas.openxmlformats.org/officeDocument/2006/relationships/hyperlink" Target="https://www.azed.gov/finance/countyappor" TargetMode="External"/><Relationship Id="rId14" Type="http://schemas.openxmlformats.org/officeDocument/2006/relationships/hyperlink" Target="mailto:SFBudgetTeam@azed.gov" TargetMode="External"/></Relationships>
</file>

<file path=xl/worksheets/sheet1.xml><?xml version="1.0" encoding="utf-8"?>
<worksheet xmlns="http://schemas.openxmlformats.org/spreadsheetml/2006/main" xmlns:r="http://schemas.openxmlformats.org/officeDocument/2006/relationships">
  <sheetPr transitionEvaluation="1">
    <pageSetUpPr fitToPage="1"/>
  </sheetPr>
  <dimension ref="A1:W56"/>
  <sheetViews>
    <sheetView showGridLines="0" tabSelected="1" workbookViewId="0">
      <selection activeCell="Q14" sqref="Q14"/>
    </sheetView>
  </sheetViews>
  <sheetFormatPr defaultColWidth="12.90625" defaultRowHeight="15.6"/>
  <cols>
    <col min="1" max="1" width="4.81640625" style="127" customWidth="1"/>
    <col min="2" max="2" width="14.08984375" style="127" customWidth="1"/>
    <col min="3" max="3" width="9.08984375" style="127" customWidth="1"/>
    <col min="4" max="4" width="12.90625" style="127" customWidth="1"/>
    <col min="5" max="5" width="10.1796875" style="127" customWidth="1"/>
    <col min="6" max="6" width="9" style="127" customWidth="1"/>
    <col min="7" max="7" width="9.90625" style="127" customWidth="1"/>
    <col min="8" max="8" width="10.90625" style="127" customWidth="1"/>
    <col min="9" max="10" width="2.453125" style="127" customWidth="1"/>
    <col min="11" max="11" width="2.90625" style="127" customWidth="1"/>
    <col min="12" max="12" width="13.54296875" style="127" customWidth="1"/>
    <col min="13" max="13" width="9.90625" style="127" customWidth="1"/>
    <col min="14" max="14" width="12.90625" style="127" customWidth="1"/>
    <col min="15" max="15" width="8.90625" style="127" customWidth="1"/>
    <col min="16" max="16" width="2.90625" style="127" customWidth="1"/>
    <col min="17" max="17" width="12.90625" style="127" customWidth="1"/>
    <col min="18" max="18" width="2.90625" style="127" customWidth="1"/>
    <col min="19" max="20" width="12.90625" style="127" customWidth="1"/>
    <col min="21" max="21" width="2.54296875" style="127" customWidth="1"/>
    <col min="22" max="22" width="12.90625" style="127" customWidth="1"/>
    <col min="23" max="23" width="13.1796875" style="127" customWidth="1"/>
    <col min="24" max="25" width="12.90625" style="127" customWidth="1"/>
    <col min="26" max="16384" width="12.90625" style="127"/>
  </cols>
  <sheetData>
    <row r="1" spans="1:19">
      <c r="A1" s="124"/>
      <c r="B1" s="125" t="s">
        <v>0</v>
      </c>
      <c r="C1" s="1418" t="s">
        <v>1358</v>
      </c>
      <c r="D1" s="1420"/>
      <c r="E1" s="1420"/>
      <c r="F1" s="1420"/>
      <c r="G1" s="125" t="s">
        <v>1</v>
      </c>
      <c r="H1" s="1418" t="s">
        <v>1359</v>
      </c>
      <c r="I1" s="1418"/>
      <c r="J1" s="1418"/>
      <c r="K1" s="1418"/>
      <c r="L1" s="124"/>
      <c r="M1" s="124"/>
      <c r="N1" s="124"/>
      <c r="R1" s="125" t="s">
        <v>2</v>
      </c>
      <c r="S1" s="25" t="s">
        <v>1360</v>
      </c>
    </row>
    <row r="2" spans="1:19" ht="3.75" customHeight="1">
      <c r="A2" s="124"/>
      <c r="B2" s="124"/>
      <c r="C2" s="124"/>
      <c r="D2" s="124"/>
      <c r="E2" s="124"/>
      <c r="F2" s="124"/>
      <c r="G2" s="124"/>
      <c r="H2" s="124"/>
      <c r="I2" s="129"/>
      <c r="J2" s="124"/>
      <c r="K2" s="129"/>
      <c r="L2" s="124"/>
      <c r="M2" s="124"/>
      <c r="N2" s="124"/>
      <c r="O2" s="124"/>
      <c r="P2" s="124"/>
      <c r="Q2" s="124"/>
      <c r="R2" s="130" t="e">
        <f>0/0</f>
        <v>#DIV/0!</v>
      </c>
    </row>
    <row r="3" spans="1:19">
      <c r="A3" s="124"/>
      <c r="B3" s="124"/>
      <c r="C3" s="124"/>
      <c r="D3" s="131" t="s">
        <v>3</v>
      </c>
      <c r="E3" s="132">
        <v>2024</v>
      </c>
      <c r="F3" s="124"/>
      <c r="G3" s="124"/>
      <c r="H3" s="124"/>
      <c r="I3" s="124"/>
      <c r="K3" s="133" t="s">
        <v>4</v>
      </c>
      <c r="L3" s="134"/>
      <c r="M3" s="134"/>
      <c r="N3" s="134"/>
      <c r="O3" s="134"/>
      <c r="P3" s="134"/>
      <c r="Q3" s="134"/>
      <c r="R3" s="134"/>
      <c r="S3" s="134"/>
    </row>
    <row r="4" spans="1:19">
      <c r="A4" s="1410" t="s">
        <v>5</v>
      </c>
      <c r="B4" s="1410"/>
      <c r="C4" s="1410"/>
      <c r="D4" s="1410"/>
      <c r="E4" s="1410"/>
      <c r="F4" s="1410"/>
      <c r="G4" s="1410"/>
      <c r="H4" s="1410"/>
      <c r="I4" s="1423"/>
      <c r="J4" s="136"/>
      <c r="K4" s="131" t="s">
        <v>6</v>
      </c>
      <c r="L4" s="124" t="s">
        <v>7</v>
      </c>
      <c r="M4" s="134"/>
      <c r="N4" s="134"/>
      <c r="O4" s="1421"/>
      <c r="P4" s="1421"/>
      <c r="Q4" s="134"/>
      <c r="R4" s="134"/>
      <c r="S4" s="124"/>
    </row>
    <row r="5" spans="1:19">
      <c r="A5" s="1410" t="s">
        <v>8</v>
      </c>
      <c r="B5" s="1410"/>
      <c r="C5" s="1410"/>
      <c r="D5" s="1410"/>
      <c r="E5" s="1410"/>
      <c r="F5" s="1410"/>
      <c r="G5" s="1410"/>
      <c r="H5" s="1410"/>
      <c r="I5" s="1423"/>
      <c r="J5" s="136"/>
      <c r="K5" s="131" t="s">
        <v>9</v>
      </c>
      <c r="L5" s="124" t="s">
        <v>10</v>
      </c>
      <c r="M5" s="124"/>
      <c r="N5" s="124"/>
      <c r="O5" s="124"/>
      <c r="P5" s="124"/>
      <c r="Q5" s="124"/>
      <c r="R5" s="124"/>
      <c r="S5" s="124"/>
    </row>
    <row r="6" spans="1:19" ht="15.75" customHeight="1">
      <c r="A6" s="1410" t="s">
        <v>11</v>
      </c>
      <c r="B6" s="1410"/>
      <c r="C6" s="1410"/>
      <c r="D6" s="1410"/>
      <c r="E6" s="1410"/>
      <c r="F6" s="1410"/>
      <c r="G6" s="1410"/>
      <c r="H6" s="1410"/>
      <c r="I6" s="1423"/>
      <c r="J6" s="136"/>
      <c r="K6" s="131"/>
      <c r="L6" s="124" t="s">
        <v>12</v>
      </c>
      <c r="M6" s="131" t="s">
        <v>13</v>
      </c>
      <c r="N6" s="14"/>
      <c r="O6" s="1422" t="str">
        <f>IF(OR('District Contacts'!G6="",'District Contacts'!G8="",'District Contacts'!G9="",'District Contacts'!G12="",'District Contacts'!G13="",'District Contacts'!G14="",'District Contacts'!G15="",'District Contacts'!E24="",'District Contacts'!E25="",'District Contacts'!E26=""),"Please ensure District Contacts Tab is complete"," ")</f>
        <v xml:space="preserve"> </v>
      </c>
      <c r="P6" s="1422"/>
      <c r="Q6" s="1422"/>
      <c r="R6" s="1422"/>
      <c r="S6" s="1422"/>
    </row>
    <row r="7" spans="1:19" ht="17.25" customHeight="1">
      <c r="A7" s="124"/>
      <c r="B7" s="124"/>
      <c r="C7" s="124"/>
      <c r="D7" s="124"/>
      <c r="E7" s="124"/>
      <c r="F7" s="124"/>
      <c r="G7" s="124"/>
      <c r="H7" s="124"/>
      <c r="I7" s="124"/>
      <c r="J7" s="136"/>
      <c r="K7" s="131"/>
      <c r="L7" s="124" t="s">
        <v>14</v>
      </c>
      <c r="M7" s="131" t="s">
        <v>15</v>
      </c>
      <c r="N7" s="14"/>
      <c r="O7" s="1422"/>
      <c r="P7" s="1422"/>
      <c r="Q7" s="1422"/>
      <c r="R7" s="1422"/>
      <c r="S7" s="1422"/>
    </row>
    <row r="8" spans="1:19" ht="15.75" customHeight="1">
      <c r="A8" s="138"/>
      <c r="B8" s="138"/>
      <c r="C8" s="1408" t="s">
        <v>1394</v>
      </c>
      <c r="D8" s="1408"/>
      <c r="E8" s="1408"/>
      <c r="F8" s="1408"/>
      <c r="G8" s="1408"/>
      <c r="H8" s="138"/>
      <c r="I8" s="138"/>
      <c r="J8" s="136"/>
      <c r="K8" s="131"/>
      <c r="L8" s="124" t="s">
        <v>16</v>
      </c>
      <c r="M8" s="131" t="s">
        <v>17</v>
      </c>
      <c r="N8" s="14"/>
      <c r="O8" s="1422" t="str">
        <f>IF(OR('Page 7'!J10&gt;'Page 7'!H10,'Page 7'!J17&gt;'Page 7'!H17),"Please correct error on Page 7","")</f>
        <v/>
      </c>
      <c r="P8" s="1422"/>
      <c r="Q8" s="1422"/>
      <c r="R8" s="1422"/>
      <c r="S8" s="1422"/>
    </row>
    <row r="9" spans="1:19" ht="15.75" customHeight="1">
      <c r="A9" s="134"/>
      <c r="B9" s="134"/>
      <c r="C9" s="1414" t="s">
        <v>18</v>
      </c>
      <c r="D9" s="1414"/>
      <c r="E9" s="1414"/>
      <c r="F9" s="1414"/>
      <c r="G9" s="1414"/>
      <c r="H9" s="134"/>
      <c r="I9" s="135"/>
      <c r="J9" s="136"/>
      <c r="K9" s="131"/>
      <c r="L9" s="124" t="s">
        <v>19</v>
      </c>
      <c r="M9" s="131" t="s">
        <v>20</v>
      </c>
      <c r="N9" s="14"/>
      <c r="O9" s="1422" t="str">
        <f>IF('District Contacts'!D33="","Please enter a SIS Vendor on  the District Contacts Tab","")</f>
        <v/>
      </c>
      <c r="P9" s="1422"/>
      <c r="Q9" s="1422"/>
      <c r="R9" s="1422"/>
      <c r="S9" s="1422"/>
    </row>
    <row r="10" spans="1:19" ht="16.2" thickBot="1">
      <c r="A10" s="1425" t="s">
        <v>21</v>
      </c>
      <c r="B10" s="1426"/>
      <c r="C10" s="1426"/>
      <c r="D10" s="1426"/>
      <c r="E10" s="1426"/>
      <c r="F10" s="1426"/>
      <c r="G10" s="1426"/>
      <c r="H10" s="1426"/>
      <c r="I10" s="1427"/>
      <c r="J10" s="136"/>
      <c r="K10" s="131"/>
      <c r="L10" s="124" t="s">
        <v>22</v>
      </c>
      <c r="M10" s="131" t="s">
        <v>23</v>
      </c>
      <c r="N10" s="140">
        <f>SUM(N6:N9)</f>
        <v>0</v>
      </c>
      <c r="O10" s="1422"/>
      <c r="P10" s="1422"/>
      <c r="Q10" s="1422"/>
      <c r="R10" s="1422"/>
      <c r="S10" s="1422"/>
    </row>
    <row r="11" spans="1:19" ht="16.2" thickTop="1">
      <c r="A11" s="1426"/>
      <c r="B11" s="1426"/>
      <c r="C11" s="1426"/>
      <c r="D11" s="1426"/>
      <c r="E11" s="1426"/>
      <c r="F11" s="1426"/>
      <c r="G11" s="1426"/>
      <c r="H11" s="1426"/>
      <c r="I11" s="1427"/>
      <c r="J11" s="136"/>
      <c r="K11" s="131" t="s">
        <v>24</v>
      </c>
      <c r="L11" s="141" t="s">
        <v>25</v>
      </c>
      <c r="M11" s="142"/>
      <c r="N11" s="142"/>
      <c r="O11" s="142"/>
      <c r="P11" s="142"/>
      <c r="Q11" s="124"/>
      <c r="R11" s="124"/>
      <c r="S11" s="124"/>
    </row>
    <row r="12" spans="1:19" ht="15" customHeight="1">
      <c r="A12" s="1410" t="s">
        <v>26</v>
      </c>
      <c r="B12" s="1410"/>
      <c r="C12" s="1410"/>
      <c r="D12" s="1410"/>
      <c r="E12" s="1410"/>
      <c r="F12" s="1410"/>
      <c r="G12" s="1410"/>
      <c r="H12" s="1410"/>
      <c r="I12" s="1423"/>
      <c r="J12" s="136"/>
      <c r="K12" s="124"/>
      <c r="L12" s="124"/>
      <c r="M12" s="124"/>
      <c r="N12" s="134" t="s">
        <v>27</v>
      </c>
      <c r="O12" s="134"/>
      <c r="P12" s="124"/>
      <c r="Q12" s="134" t="s">
        <v>28</v>
      </c>
      <c r="R12" s="134"/>
      <c r="S12" s="124"/>
    </row>
    <row r="13" spans="1:19">
      <c r="A13" s="124"/>
      <c r="B13" s="124"/>
      <c r="C13" s="132" t="s">
        <v>29</v>
      </c>
      <c r="D13" s="124"/>
      <c r="E13" s="1424">
        <v>45092</v>
      </c>
      <c r="F13" s="1424"/>
      <c r="G13" s="143" t="str">
        <f>IF(AND(OR(ISNUMBER(SEARCH("Proposed*",C8)),ISNUMBER(SEARCH("Adopted*",C8)),ISNUMBER(SEARCH("Revised*",C8))),E13=""),"Please enter a Proposed Date","")</f>
        <v/>
      </c>
      <c r="H13" s="124"/>
      <c r="I13" s="124"/>
      <c r="J13" s="136"/>
      <c r="K13" s="124"/>
      <c r="L13" s="124" t="s">
        <v>30</v>
      </c>
      <c r="M13" s="124"/>
      <c r="N13" s="16">
        <v>3.0291000000000001</v>
      </c>
      <c r="O13" s="144"/>
      <c r="P13" s="145"/>
      <c r="Q13" s="16">
        <v>2.6286999999999998</v>
      </c>
      <c r="R13" s="144"/>
      <c r="S13" s="124" t="str">
        <f>IF('Page 7'!J10&gt;'Page 7'!H10,"Please correct error on Page 7","")</f>
        <v/>
      </c>
    </row>
    <row r="14" spans="1:19">
      <c r="A14" s="124"/>
      <c r="B14" s="124"/>
      <c r="C14" s="132" t="s">
        <v>31</v>
      </c>
      <c r="D14" s="124"/>
      <c r="E14" s="1419"/>
      <c r="F14" s="1419"/>
      <c r="G14" s="143" t="str">
        <f>IF(AND(OR(ISNUMBER(SEARCH("Adopted*",C8)),ISNUMBER(SEARCH("Revised*",C8))),E14=""),"Please enter an Adopted Date","")</f>
        <v/>
      </c>
      <c r="H14" s="124"/>
      <c r="I14" s="124"/>
      <c r="J14" s="136"/>
      <c r="K14" s="124"/>
      <c r="L14" s="124" t="s">
        <v>32</v>
      </c>
      <c r="M14" s="124"/>
      <c r="N14" s="144"/>
      <c r="O14" s="144"/>
      <c r="P14" s="145"/>
      <c r="Q14" s="146"/>
      <c r="R14" s="146"/>
      <c r="S14" s="124"/>
    </row>
    <row r="15" spans="1:19">
      <c r="A15" s="124"/>
      <c r="B15" s="124"/>
      <c r="C15" s="132" t="s">
        <v>33</v>
      </c>
      <c r="D15" s="124"/>
      <c r="E15" s="1419"/>
      <c r="F15" s="1419"/>
      <c r="G15" s="147" t="str">
        <f>IF(AND(ISNUMBER(SEARCH("Revised*",C8)),E15=""),"Please enter a Revised Date","")</f>
        <v/>
      </c>
      <c r="H15" s="124"/>
      <c r="I15" s="124"/>
      <c r="J15" s="136"/>
      <c r="K15" s="124"/>
      <c r="L15" s="124" t="s">
        <v>34</v>
      </c>
      <c r="M15" s="124"/>
      <c r="N15" s="16"/>
      <c r="O15" s="144"/>
      <c r="P15" s="145"/>
      <c r="Q15" s="16"/>
      <c r="R15" s="144"/>
      <c r="S15" s="124"/>
    </row>
    <row r="16" spans="1:19">
      <c r="A16" s="124"/>
      <c r="B16" s="124"/>
      <c r="C16" s="124"/>
      <c r="D16" s="124"/>
      <c r="E16" s="1414" t="s">
        <v>35</v>
      </c>
      <c r="F16" s="1414"/>
      <c r="G16" s="124"/>
      <c r="H16" s="124"/>
      <c r="I16" s="124"/>
      <c r="J16" s="136"/>
      <c r="K16" s="124"/>
      <c r="L16" s="124" t="s">
        <v>36</v>
      </c>
      <c r="M16" s="124"/>
      <c r="N16" s="15"/>
      <c r="O16" s="144"/>
      <c r="P16" s="145"/>
      <c r="Q16" s="15"/>
      <c r="R16" s="144"/>
      <c r="S16" s="124"/>
    </row>
    <row r="17" spans="1:23" ht="15.75" customHeight="1">
      <c r="A17" s="148"/>
      <c r="B17" s="148"/>
      <c r="C17" s="148"/>
      <c r="D17" s="148"/>
      <c r="E17" s="148"/>
      <c r="F17" s="148"/>
      <c r="G17" s="148"/>
      <c r="H17" s="148"/>
      <c r="I17" s="149"/>
      <c r="J17" s="136"/>
      <c r="K17" s="124"/>
      <c r="L17" s="124" t="s">
        <v>37</v>
      </c>
      <c r="M17" s="124"/>
      <c r="N17" s="15"/>
      <c r="O17" s="144"/>
      <c r="P17" s="145"/>
      <c r="Q17" s="15"/>
      <c r="R17" s="144"/>
      <c r="S17" s="124"/>
    </row>
    <row r="18" spans="1:23">
      <c r="A18" s="150"/>
      <c r="B18" s="148"/>
      <c r="C18" s="148"/>
      <c r="D18" s="148"/>
      <c r="E18" s="148"/>
      <c r="F18" s="148"/>
      <c r="G18" s="148"/>
      <c r="H18" s="148"/>
      <c r="I18" s="149"/>
      <c r="J18" s="136"/>
      <c r="K18" s="124"/>
      <c r="L18" s="132" t="s">
        <v>38</v>
      </c>
      <c r="M18" s="134"/>
      <c r="N18" s="15"/>
      <c r="O18" s="144"/>
      <c r="P18" s="145"/>
      <c r="Q18" s="15"/>
      <c r="R18" s="144"/>
      <c r="S18" s="124"/>
    </row>
    <row r="19" spans="1:23">
      <c r="A19" s="124"/>
      <c r="B19" s="124"/>
      <c r="C19" s="1411"/>
      <c r="D19" s="1411"/>
      <c r="E19" s="124"/>
      <c r="F19" s="1411"/>
      <c r="G19" s="1411"/>
      <c r="H19" s="124"/>
      <c r="I19" s="124"/>
      <c r="J19" s="136"/>
      <c r="K19" s="124"/>
      <c r="L19" s="132" t="s">
        <v>39</v>
      </c>
      <c r="M19" s="124"/>
      <c r="N19" s="15"/>
      <c r="O19" s="144"/>
      <c r="P19" s="145"/>
      <c r="Q19" s="15"/>
      <c r="R19" s="144"/>
      <c r="S19" s="124"/>
    </row>
    <row r="20" spans="1:23">
      <c r="A20" s="124"/>
      <c r="B20" s="124"/>
      <c r="C20" s="1397"/>
      <c r="D20" s="1397"/>
      <c r="E20" s="124"/>
      <c r="F20" s="1397"/>
      <c r="G20" s="1397"/>
      <c r="H20" s="124"/>
      <c r="I20" s="124"/>
      <c r="J20" s="136"/>
      <c r="K20" s="124"/>
      <c r="L20" s="124" t="s">
        <v>40</v>
      </c>
      <c r="M20" s="124"/>
      <c r="N20" s="16"/>
      <c r="O20" s="144"/>
      <c r="P20" s="124"/>
      <c r="Q20" s="16"/>
      <c r="R20" s="144"/>
      <c r="S20" s="124"/>
    </row>
    <row r="21" spans="1:23">
      <c r="A21" s="124"/>
      <c r="B21" s="124"/>
      <c r="C21" s="1397"/>
      <c r="D21" s="1397"/>
      <c r="E21" s="124"/>
      <c r="F21" s="1397"/>
      <c r="G21" s="1397"/>
      <c r="H21" s="124"/>
      <c r="I21" s="124"/>
      <c r="J21" s="136"/>
      <c r="K21" s="124"/>
      <c r="L21" s="124" t="s">
        <v>41</v>
      </c>
      <c r="M21" s="124"/>
      <c r="N21" s="16"/>
      <c r="O21" s="144"/>
      <c r="P21" s="124"/>
      <c r="Q21" s="16"/>
      <c r="R21" s="144"/>
      <c r="S21" s="124"/>
    </row>
    <row r="22" spans="1:23" ht="16.2" thickBot="1">
      <c r="A22" s="124"/>
      <c r="B22" s="124"/>
      <c r="C22" s="1397"/>
      <c r="D22" s="1397"/>
      <c r="E22" s="124"/>
      <c r="F22" s="1397"/>
      <c r="G22" s="1397"/>
      <c r="H22" s="124"/>
      <c r="I22" s="124"/>
      <c r="J22" s="136"/>
      <c r="K22" s="124"/>
      <c r="L22" s="124" t="s">
        <v>42</v>
      </c>
      <c r="M22" s="124"/>
      <c r="N22" s="151">
        <f>SUM(N15:N21)</f>
        <v>0</v>
      </c>
      <c r="O22" s="144"/>
      <c r="P22" s="124"/>
      <c r="Q22" s="151">
        <f>SUM(Q15:Q21)</f>
        <v>0</v>
      </c>
      <c r="R22" s="144"/>
      <c r="S22" s="134"/>
    </row>
    <row r="23" spans="1:23" ht="16.2" thickTop="1">
      <c r="A23" s="124"/>
      <c r="B23" s="124"/>
      <c r="C23" s="1397"/>
      <c r="D23" s="1397"/>
      <c r="E23" s="124"/>
      <c r="F23" s="1397"/>
      <c r="G23" s="1397"/>
      <c r="H23" s="124"/>
      <c r="I23" s="124"/>
      <c r="J23" s="136"/>
      <c r="K23" s="152" t="s">
        <v>43</v>
      </c>
      <c r="M23" s="124"/>
      <c r="N23" s="124"/>
      <c r="O23" s="124"/>
      <c r="P23" s="124"/>
      <c r="Q23" s="124"/>
      <c r="R23" s="124"/>
      <c r="S23" s="124"/>
    </row>
    <row r="24" spans="1:23">
      <c r="A24" s="124"/>
      <c r="B24" s="124"/>
      <c r="C24" s="1397"/>
      <c r="D24" s="1397"/>
      <c r="E24" s="124"/>
      <c r="F24" s="1397"/>
      <c r="G24" s="1397"/>
      <c r="H24" s="124"/>
      <c r="I24" s="124"/>
      <c r="J24" s="136"/>
      <c r="K24" s="152"/>
      <c r="M24" s="124"/>
      <c r="N24" s="124"/>
      <c r="O24" s="124"/>
      <c r="P24" s="124"/>
      <c r="Q24" s="153" t="s">
        <v>44</v>
      </c>
      <c r="R24" s="153"/>
      <c r="S24" s="153" t="s">
        <v>45</v>
      </c>
    </row>
    <row r="25" spans="1:23">
      <c r="A25" s="124"/>
      <c r="B25" s="124"/>
      <c r="C25" s="1397"/>
      <c r="D25" s="1397"/>
      <c r="E25" s="124"/>
      <c r="F25" s="1397"/>
      <c r="G25" s="1397"/>
      <c r="H25" s="124"/>
      <c r="I25" s="124"/>
      <c r="J25" s="136"/>
      <c r="K25" s="131" t="s">
        <v>6</v>
      </c>
      <c r="L25" s="124" t="s">
        <v>46</v>
      </c>
      <c r="M25" s="124"/>
      <c r="N25" s="124"/>
      <c r="O25" s="124"/>
      <c r="P25" s="131" t="s">
        <v>23</v>
      </c>
      <c r="Q25" s="137">
        <f>F001TotalExp</f>
        <v>2007475</v>
      </c>
      <c r="R25" s="131" t="s">
        <v>23</v>
      </c>
      <c r="S25" s="137">
        <f>GBLBudgFY</f>
        <v>2007475</v>
      </c>
      <c r="T25" s="154" t="str">
        <f>IF(Q25&gt;S25,"GBL Exceeded","")</f>
        <v/>
      </c>
    </row>
    <row r="26" spans="1:23">
      <c r="A26" s="124"/>
      <c r="B26" s="124"/>
      <c r="C26" s="1407" t="s">
        <v>47</v>
      </c>
      <c r="D26" s="1407"/>
      <c r="E26" s="155"/>
      <c r="F26" s="1407" t="s">
        <v>47</v>
      </c>
      <c r="G26" s="1407"/>
      <c r="H26" s="124"/>
      <c r="I26" s="124"/>
      <c r="J26" s="136"/>
      <c r="K26" s="131" t="s">
        <v>9</v>
      </c>
      <c r="L26" s="124" t="s">
        <v>48</v>
      </c>
      <c r="M26" s="124"/>
      <c r="N26" s="124"/>
      <c r="O26" s="124"/>
      <c r="P26" s="131" t="s">
        <v>23</v>
      </c>
      <c r="Q26" s="137">
        <f>F610TotalBudgFY</f>
        <v>509416</v>
      </c>
      <c r="R26" s="131" t="s">
        <v>23</v>
      </c>
      <c r="S26" s="137">
        <f>UCBLBudgFY</f>
        <v>509416</v>
      </c>
      <c r="T26" s="154" t="str">
        <f>IF(Q26&gt;S26,"UCBL Exceeded","")</f>
        <v/>
      </c>
    </row>
    <row r="27" spans="1:23">
      <c r="A27" s="124"/>
      <c r="B27" s="124"/>
      <c r="C27" s="124"/>
      <c r="D27" s="124"/>
      <c r="E27" s="124"/>
      <c r="F27" s="124"/>
      <c r="G27" s="124"/>
      <c r="H27" s="124"/>
      <c r="I27" s="124"/>
      <c r="J27" s="136"/>
      <c r="K27" s="156" t="s">
        <v>24</v>
      </c>
      <c r="L27" s="124" t="s">
        <v>49</v>
      </c>
      <c r="M27" s="124"/>
      <c r="N27" s="124"/>
      <c r="O27" s="124"/>
      <c r="P27" s="124"/>
      <c r="R27" s="131" t="s">
        <v>23</v>
      </c>
      <c r="S27" s="137">
        <f>TotFedProjFundBudgFY-F378BudgFY</f>
        <v>146000</v>
      </c>
    </row>
    <row r="28" spans="1:23" ht="16.2" thickBot="1">
      <c r="A28" s="124"/>
      <c r="C28" s="124" t="s">
        <v>50</v>
      </c>
      <c r="D28" s="124"/>
      <c r="E28" s="124"/>
      <c r="F28" s="124"/>
      <c r="G28" s="124"/>
      <c r="H28" s="124"/>
      <c r="I28" s="124"/>
      <c r="J28" s="136"/>
      <c r="K28" s="156" t="s">
        <v>51</v>
      </c>
      <c r="L28" s="124" t="s">
        <v>52</v>
      </c>
      <c r="M28" s="124"/>
      <c r="N28" s="124"/>
      <c r="O28" s="124"/>
      <c r="P28" s="124"/>
      <c r="R28" s="131" t="s">
        <v>23</v>
      </c>
      <c r="S28" s="140">
        <f>SUM(S25+S26+S27)</f>
        <v>2662891</v>
      </c>
    </row>
    <row r="29" spans="1:23" ht="16.5" customHeight="1" thickTop="1">
      <c r="A29" s="124"/>
      <c r="B29" s="127" t="s">
        <v>53</v>
      </c>
      <c r="C29" s="124" t="s">
        <v>54</v>
      </c>
      <c r="D29" s="157"/>
      <c r="F29" s="1415">
        <v>45093</v>
      </c>
      <c r="G29" s="1415"/>
      <c r="H29" s="158" t="s">
        <v>55</v>
      </c>
      <c r="I29" s="159"/>
      <c r="J29" s="136"/>
      <c r="S29" s="160"/>
    </row>
    <row r="30" spans="1:23" ht="16.5" customHeight="1">
      <c r="A30" s="124"/>
      <c r="B30" s="1410"/>
      <c r="C30" s="1410"/>
      <c r="D30" s="161"/>
      <c r="E30" s="124"/>
      <c r="F30" s="1416" t="s">
        <v>56</v>
      </c>
      <c r="G30" s="1416"/>
      <c r="H30" s="124"/>
      <c r="I30" s="124"/>
      <c r="J30" s="136"/>
      <c r="K30" s="162" t="s">
        <v>57</v>
      </c>
      <c r="L30" s="162"/>
      <c r="M30" s="162"/>
      <c r="N30" s="162"/>
      <c r="O30" s="162"/>
      <c r="P30" s="162"/>
      <c r="Q30" s="162"/>
      <c r="R30" s="160"/>
    </row>
    <row r="31" spans="1:23" ht="14.25" customHeight="1" thickBot="1">
      <c r="A31" s="124"/>
      <c r="B31" s="124"/>
      <c r="C31" s="124"/>
      <c r="D31" s="124"/>
      <c r="E31" s="163"/>
      <c r="F31" s="164" t="str">
        <f>IF(F29="","Please enter upload by date",IF(F29&gt;=MAX(E13,E14,E15),"","Revise upload date for current submission"))</f>
        <v/>
      </c>
      <c r="G31" s="124"/>
      <c r="H31" s="163"/>
      <c r="I31" s="124"/>
      <c r="J31" s="136"/>
      <c r="K31" s="156" t="s">
        <v>6</v>
      </c>
      <c r="L31" s="124" t="s">
        <v>58</v>
      </c>
      <c r="M31" s="165"/>
      <c r="N31" s="165"/>
      <c r="O31" s="124"/>
      <c r="P31" s="1395" t="str">
        <f>IF(U32&lt;&gt;"","",IF(OR(S31=0,S32=0),"Average salary information is not complete",""))</f>
        <v/>
      </c>
      <c r="Q31" s="1395"/>
      <c r="R31" s="131" t="s">
        <v>23</v>
      </c>
      <c r="S31" s="14">
        <f>43911*1.02</f>
        <v>44789</v>
      </c>
      <c r="T31" s="166" t="str">
        <f>IF(U32&lt;&gt;"","",IF(OR(S31=0,S32=0),1/ERROR,""))</f>
        <v/>
      </c>
    </row>
    <row r="32" spans="1:23" ht="15.75" customHeight="1" thickBot="1">
      <c r="A32" s="124"/>
      <c r="B32" s="1408"/>
      <c r="C32" s="1408"/>
      <c r="D32" s="1408"/>
      <c r="E32" s="124"/>
      <c r="F32" s="1411"/>
      <c r="G32" s="1411"/>
      <c r="H32" s="1411"/>
      <c r="I32" s="124"/>
      <c r="J32" s="136"/>
      <c r="K32" s="156" t="s">
        <v>9</v>
      </c>
      <c r="L32" s="124" t="s">
        <v>59</v>
      </c>
      <c r="M32" s="124"/>
      <c r="N32" s="124"/>
      <c r="O32" s="124"/>
      <c r="P32" s="1395"/>
      <c r="Q32" s="1395"/>
      <c r="R32" s="131" t="s">
        <v>23</v>
      </c>
      <c r="S32" s="14">
        <v>43911</v>
      </c>
      <c r="T32" s="166" t="b">
        <v>0</v>
      </c>
      <c r="U32" s="68"/>
      <c r="V32" s="1394" t="s">
        <v>60</v>
      </c>
      <c r="W32" s="1394"/>
    </row>
    <row r="33" spans="1:23">
      <c r="A33" s="124"/>
      <c r="B33" s="1414" t="s">
        <v>61</v>
      </c>
      <c r="C33" s="1414"/>
      <c r="D33" s="1414"/>
      <c r="E33" s="124"/>
      <c r="F33" s="1410" t="s">
        <v>62</v>
      </c>
      <c r="G33" s="1410"/>
      <c r="H33" s="1410"/>
      <c r="I33" s="124"/>
      <c r="J33" s="136"/>
      <c r="K33" s="156" t="s">
        <v>24</v>
      </c>
      <c r="L33" s="124" t="s">
        <v>63</v>
      </c>
      <c r="M33" s="124"/>
      <c r="N33" s="124"/>
      <c r="O33" s="124"/>
      <c r="P33" s="1395"/>
      <c r="Q33" s="1395"/>
      <c r="R33" s="131" t="s">
        <v>23</v>
      </c>
      <c r="S33" s="167">
        <f>BudgetYearSalary-PriorYearSalary</f>
        <v>878</v>
      </c>
      <c r="V33" s="1394"/>
      <c r="W33" s="1394"/>
    </row>
    <row r="34" spans="1:23">
      <c r="A34" s="124"/>
      <c r="B34" s="124"/>
      <c r="C34" s="124"/>
      <c r="D34" s="124"/>
      <c r="E34" s="124"/>
      <c r="F34" s="124"/>
      <c r="G34" s="124"/>
      <c r="H34" s="124"/>
      <c r="I34" s="124"/>
      <c r="J34" s="136"/>
      <c r="K34" s="156" t="s">
        <v>51</v>
      </c>
      <c r="L34" s="124" t="s">
        <v>64</v>
      </c>
      <c r="M34" s="124"/>
      <c r="N34" s="124"/>
      <c r="O34" s="168"/>
      <c r="P34" s="1396"/>
      <c r="Q34" s="1396"/>
      <c r="R34" s="131"/>
      <c r="S34" s="169">
        <f>IF(PriorYearSalary&gt;0,SalaryIncrease/PriorYearSalary,0)</f>
        <v>0.02</v>
      </c>
    </row>
    <row r="35" spans="1:23" ht="18" customHeight="1">
      <c r="A35" s="124"/>
      <c r="B35" s="1417" t="s">
        <v>1362</v>
      </c>
      <c r="C35" s="1417"/>
      <c r="D35" s="1417"/>
      <c r="E35" s="124"/>
      <c r="F35" s="1408" t="s">
        <v>1361</v>
      </c>
      <c r="G35" s="1408"/>
      <c r="H35" s="1408"/>
      <c r="I35" s="124"/>
      <c r="J35" s="136"/>
      <c r="K35" s="1398" t="s">
        <v>65</v>
      </c>
      <c r="L35" s="1399"/>
      <c r="M35" s="1399"/>
      <c r="N35" s="1399"/>
      <c r="O35" s="1399"/>
      <c r="P35" s="1399"/>
      <c r="Q35" s="1399"/>
      <c r="R35" s="1399"/>
      <c r="S35" s="1400"/>
    </row>
    <row r="36" spans="1:23" ht="15" customHeight="1">
      <c r="A36" s="124"/>
      <c r="B36" s="1414" t="s">
        <v>66</v>
      </c>
      <c r="C36" s="1414"/>
      <c r="D36" s="1414"/>
      <c r="E36" s="124"/>
      <c r="F36" s="1410" t="s">
        <v>67</v>
      </c>
      <c r="G36" s="1410"/>
      <c r="H36" s="1410"/>
      <c r="I36" s="124"/>
      <c r="J36" s="136"/>
      <c r="K36" s="1401"/>
      <c r="L36" s="1402"/>
      <c r="M36" s="1402"/>
      <c r="N36" s="1402"/>
      <c r="O36" s="1402"/>
      <c r="P36" s="1402"/>
      <c r="Q36" s="1402"/>
      <c r="R36" s="1402"/>
      <c r="S36" s="1403"/>
    </row>
    <row r="37" spans="1:23" ht="15" customHeight="1">
      <c r="A37" s="124"/>
      <c r="B37" s="134"/>
      <c r="C37" s="134"/>
      <c r="D37" s="134"/>
      <c r="E37" s="124"/>
      <c r="F37" s="134"/>
      <c r="G37" s="134"/>
      <c r="H37" s="134"/>
      <c r="I37" s="124"/>
      <c r="J37" s="170"/>
      <c r="K37" s="1401"/>
      <c r="L37" s="1402"/>
      <c r="M37" s="1402"/>
      <c r="N37" s="1402"/>
      <c r="O37" s="1402"/>
      <c r="P37" s="1402"/>
      <c r="Q37" s="1402"/>
      <c r="R37" s="1402"/>
      <c r="S37" s="1403"/>
    </row>
    <row r="38" spans="1:23" ht="15" customHeight="1">
      <c r="A38" s="124"/>
      <c r="B38" s="1409" t="s">
        <v>68</v>
      </c>
      <c r="C38" s="1409"/>
      <c r="D38" s="1408" t="s">
        <v>1361</v>
      </c>
      <c r="E38" s="1408"/>
      <c r="F38" s="1408"/>
      <c r="G38" s="1408"/>
      <c r="H38" s="124"/>
      <c r="I38" s="124"/>
      <c r="J38" s="171"/>
      <c r="K38" s="1401"/>
      <c r="L38" s="1402"/>
      <c r="M38" s="1402"/>
      <c r="N38" s="1402"/>
      <c r="O38" s="1402"/>
      <c r="P38" s="1402"/>
      <c r="Q38" s="1402"/>
      <c r="R38" s="1402"/>
      <c r="S38" s="1403"/>
    </row>
    <row r="39" spans="1:23" ht="15" customHeight="1">
      <c r="A39" s="130"/>
      <c r="B39" s="132"/>
      <c r="C39" s="132"/>
      <c r="D39" s="134"/>
      <c r="E39" s="134"/>
      <c r="F39" s="134"/>
      <c r="G39" s="139"/>
      <c r="H39" s="124"/>
      <c r="I39" s="172"/>
      <c r="J39" s="173"/>
      <c r="K39" s="1404"/>
      <c r="L39" s="1405"/>
      <c r="M39" s="1405"/>
      <c r="N39" s="1405"/>
      <c r="O39" s="1405"/>
      <c r="P39" s="1405"/>
      <c r="Q39" s="1405"/>
      <c r="R39" s="1405"/>
      <c r="S39" s="1406"/>
    </row>
    <row r="40" spans="1:23" ht="15" customHeight="1">
      <c r="A40" s="174"/>
      <c r="B40" s="124" t="s">
        <v>69</v>
      </c>
      <c r="C40" s="1412" t="s">
        <v>1399</v>
      </c>
      <c r="D40" s="1412"/>
      <c r="E40" s="124"/>
      <c r="F40" s="131" t="s">
        <v>70</v>
      </c>
      <c r="G40" s="1413" t="s">
        <v>1365</v>
      </c>
      <c r="H40" s="1408"/>
      <c r="I40" s="172"/>
      <c r="J40" s="175"/>
      <c r="K40" s="156"/>
      <c r="L40" s="124"/>
      <c r="M40" s="124"/>
      <c r="N40" s="124"/>
      <c r="O40" s="160"/>
      <c r="P40" s="160"/>
      <c r="Q40" s="124"/>
      <c r="R40" s="131"/>
      <c r="S40" s="176"/>
    </row>
    <row r="41" spans="1:23" ht="15.75" customHeight="1">
      <c r="A41" s="174"/>
      <c r="B41" s="124"/>
      <c r="C41" s="124"/>
      <c r="D41" s="124"/>
      <c r="E41" s="177"/>
      <c r="F41" s="124"/>
      <c r="G41" s="124"/>
      <c r="H41" s="124"/>
      <c r="I41" s="172"/>
      <c r="J41" s="178"/>
      <c r="K41" s="156"/>
      <c r="L41" s="124"/>
      <c r="R41" s="131"/>
      <c r="S41" s="169"/>
      <c r="T41" s="178"/>
    </row>
    <row r="42" spans="1:23">
      <c r="A42" s="179"/>
      <c r="B42" s="124"/>
      <c r="C42" s="124"/>
      <c r="D42" s="124"/>
      <c r="E42" s="177"/>
      <c r="F42" s="124"/>
      <c r="G42" s="124"/>
      <c r="H42" s="124"/>
      <c r="J42" s="180"/>
      <c r="K42" s="181"/>
      <c r="L42" s="180"/>
      <c r="M42" s="182"/>
      <c r="N42" s="182"/>
      <c r="O42" s="182"/>
      <c r="P42" s="182"/>
      <c r="Q42" s="183"/>
      <c r="R42" s="183"/>
      <c r="S42" s="184"/>
      <c r="T42" s="178"/>
    </row>
    <row r="43" spans="1:23" ht="6.75" customHeight="1">
      <c r="B43" s="130"/>
      <c r="C43" s="177"/>
      <c r="D43" s="177"/>
      <c r="E43" s="185"/>
      <c r="F43" s="177"/>
      <c r="G43" s="177"/>
      <c r="H43" s="177"/>
      <c r="S43" s="186"/>
    </row>
    <row r="44" spans="1:23">
      <c r="E44" s="185"/>
      <c r="F44" s="185"/>
      <c r="G44" s="187"/>
      <c r="H44" s="185"/>
    </row>
    <row r="45" spans="1:23">
      <c r="E45" s="179"/>
      <c r="F45" s="185"/>
      <c r="G45" s="185"/>
      <c r="H45" s="185"/>
    </row>
    <row r="56" spans="2:2">
      <c r="B56" s="188"/>
    </row>
  </sheetData>
  <sheetProtection sheet="1" formatCells="0" formatColumns="0" formatRows="0"/>
  <mergeCells count="51">
    <mergeCell ref="O4:P4"/>
    <mergeCell ref="E14:F14"/>
    <mergeCell ref="O8:S8"/>
    <mergeCell ref="C8:G8"/>
    <mergeCell ref="A4:I4"/>
    <mergeCell ref="A6:I6"/>
    <mergeCell ref="A12:I12"/>
    <mergeCell ref="A5:I5"/>
    <mergeCell ref="E13:F13"/>
    <mergeCell ref="A10:I11"/>
    <mergeCell ref="O6:S7"/>
    <mergeCell ref="O9:S10"/>
    <mergeCell ref="H1:K1"/>
    <mergeCell ref="C9:G9"/>
    <mergeCell ref="E16:F16"/>
    <mergeCell ref="E15:F15"/>
    <mergeCell ref="C23:D23"/>
    <mergeCell ref="C20:D20"/>
    <mergeCell ref="C21:D21"/>
    <mergeCell ref="C22:D22"/>
    <mergeCell ref="C19:D19"/>
    <mergeCell ref="C1:F1"/>
    <mergeCell ref="F19:G19"/>
    <mergeCell ref="F20:G20"/>
    <mergeCell ref="F23:G23"/>
    <mergeCell ref="F21:G21"/>
    <mergeCell ref="F22:G22"/>
    <mergeCell ref="F24:G24"/>
    <mergeCell ref="C40:D40"/>
    <mergeCell ref="D38:G38"/>
    <mergeCell ref="G40:H40"/>
    <mergeCell ref="B33:D33"/>
    <mergeCell ref="F33:H33"/>
    <mergeCell ref="B36:D36"/>
    <mergeCell ref="F36:H36"/>
    <mergeCell ref="C24:D24"/>
    <mergeCell ref="F29:G29"/>
    <mergeCell ref="F30:G30"/>
    <mergeCell ref="F26:G26"/>
    <mergeCell ref="F25:G25"/>
    <mergeCell ref="B35:D35"/>
    <mergeCell ref="F35:H35"/>
    <mergeCell ref="V32:W33"/>
    <mergeCell ref="P31:Q34"/>
    <mergeCell ref="C25:D25"/>
    <mergeCell ref="K35:S39"/>
    <mergeCell ref="C26:D26"/>
    <mergeCell ref="B32:D32"/>
    <mergeCell ref="B38:C38"/>
    <mergeCell ref="B30:C30"/>
    <mergeCell ref="F32:H32"/>
  </mergeCells>
  <dataValidations xWindow="443" yWindow="456" count="7">
    <dataValidation type="textLength" operator="equal" allowBlank="1" showInputMessage="1" showErrorMessage="1" promptTitle="CTD Number" prompt="This cell will only accept a CTD number of exactly 9 digits.  Enter 000 at the end of the district number to fill the places of a school number." sqref="S1">
      <formula1>9</formula1>
    </dataValidation>
    <dataValidation type="list" allowBlank="1" showInputMessage="1" showErrorMessage="1" error="Select the budget version from the drop-down list." prompt="Select the budget version that is applicable to you:  Proposed, Adopted, or Revised." sqref="C8:G8">
      <formula1>"Proposed, Adopted, Revised #1, Revised #2, Revised #3, Revised #4"</formula1>
    </dataValidation>
    <dataValidation type="date" operator="greaterThan" allowBlank="1" showInputMessage="1" showErrorMessage="1" errorTitle="Date" error="Revised date must be greater than adopted date" promptTitle="Enter Date as" prompt="MM/DD/YYYY" sqref="E15:F15">
      <formula1>E14</formula1>
    </dataValidation>
    <dataValidation type="date" operator="greaterThan" allowBlank="1" showInputMessage="1" showErrorMessage="1" errorTitle="Date" error="Adopted date must be greater than proposed date" promptTitle="Enter Date as" prompt="MM/DD/YYYY" sqref="E14:F14">
      <formula1>E13</formula1>
    </dataValidation>
    <dataValidation type="date" operator="greaterThanOrEqual" allowBlank="1" showInputMessage="1" showErrorMessage="1" errorTitle="Date" error="Enter a Valid Date_x000a_MM/DD/YYYY" promptTitle="Enter Date as" prompt="MM/DD/YYYY" sqref="E13:F13">
      <formula1>43241</formula1>
    </dataValidation>
    <dataValidation type="date" operator="greaterThanOrEqual" allowBlank="1" showInputMessage="1" showErrorMessage="1" errorTitle="Date" error="Enter a Valid Date_x000a_MM/DD/YYYY" sqref="F29:G29">
      <formula1>43241</formula1>
    </dataValidation>
    <dataValidation type="list" allowBlank="1" showInputMessage="1" showErrorMessage="1" sqref="U32">
      <formula1>"X"</formula1>
    </dataValidation>
  </dataValidations>
  <hyperlinks>
    <hyperlink ref="L11:P11" location="TaxRates" display="District Tax Rates for Current and Budget Fiscal Years (A.R.S. §15-903.D.4)"/>
    <hyperlink ref="K30:Q30" location="AvgTeacherSalaries" display="AVERAGE TEACHER SALARIES (A.R.S. §15-903, amended by Laws 2018, Ch. 285, §10)"/>
  </hyperlinks>
  <printOptions horizontalCentered="1"/>
  <pageMargins left="0.25" right="0.25" top="0.25" bottom="0.25" header="0" footer="0.15"/>
  <pageSetup paperSize="5" scale="66" orientation="landscape" r:id="rId1"/>
  <headerFooter alignWithMargins="0">
    <oddFooter>&amp;L&amp;"Times New Roman,Bold"&amp;9Rev. 5/23&amp;K000000 Arizona Department of Education and Auditor General&amp;C&amp;"Times New Roman,Regular"&amp;9&amp;D  &amp;T</oddFooter>
  </headerFooter>
  <ignoredErrors>
    <ignoredError sqref="R2" evalError="1"/>
  </ignoredErrors>
  <drawing r:id="rId2"/>
</worksheet>
</file>

<file path=xl/worksheets/sheet2.xml><?xml version="1.0" encoding="utf-8"?>
<worksheet xmlns="http://schemas.openxmlformats.org/spreadsheetml/2006/main" xmlns:r="http://schemas.openxmlformats.org/officeDocument/2006/relationships">
  <sheetPr>
    <pageSetUpPr fitToPage="1"/>
  </sheetPr>
  <dimension ref="A1:U39"/>
  <sheetViews>
    <sheetView showGridLines="0" topLeftCell="A4" workbookViewId="0">
      <selection activeCell="E24" sqref="E24:F24"/>
    </sheetView>
  </sheetViews>
  <sheetFormatPr defaultColWidth="8.90625" defaultRowHeight="15"/>
  <cols>
    <col min="1" max="1" width="13.90625" customWidth="1"/>
    <col min="2" max="2" width="24.453125" customWidth="1"/>
    <col min="3" max="3" width="4.90625" customWidth="1"/>
    <col min="4" max="4" width="15.90625" customWidth="1"/>
    <col min="5" max="5" width="18" customWidth="1"/>
    <col min="6" max="6" width="6" customWidth="1"/>
    <col min="7" max="7" width="20.453125" customWidth="1"/>
    <col min="8" max="8" width="13.453125" customWidth="1"/>
    <col min="9" max="9" width="7.54296875" customWidth="1"/>
    <col min="12" max="12" width="11.453125" customWidth="1"/>
    <col min="13" max="13" width="30.08984375" style="206" customWidth="1"/>
    <col min="14" max="15" width="8.90625" style="202" customWidth="1"/>
    <col min="16" max="16" width="8.90625" customWidth="1"/>
  </cols>
  <sheetData>
    <row r="1" spans="1:21" ht="15.6">
      <c r="A1" s="125" t="s">
        <v>71</v>
      </c>
      <c r="B1" s="189" t="str">
        <f>DistrictName</f>
        <v>Valley Union High School District</v>
      </c>
      <c r="C1" s="174"/>
      <c r="D1" s="125" t="s">
        <v>72</v>
      </c>
      <c r="E1" s="126" t="str">
        <f>Cover!H1</f>
        <v>Cochise</v>
      </c>
      <c r="G1" s="125" t="s">
        <v>73</v>
      </c>
      <c r="H1" s="190" t="str">
        <f>CTD</f>
        <v>020522000</v>
      </c>
      <c r="I1" s="191"/>
      <c r="J1" s="125" t="s">
        <v>74</v>
      </c>
      <c r="K1" s="192" t="str">
        <f>Cover!C8</f>
        <v>Proposed</v>
      </c>
      <c r="M1" s="166" t="s">
        <v>75</v>
      </c>
      <c r="N1" s="166" t="s">
        <v>76</v>
      </c>
      <c r="O1" s="166" t="s">
        <v>77</v>
      </c>
      <c r="P1" s="166" t="s">
        <v>78</v>
      </c>
      <c r="Q1" s="166" t="s">
        <v>79</v>
      </c>
      <c r="R1" s="193"/>
      <c r="S1" s="193"/>
      <c r="T1" s="193"/>
      <c r="U1" s="193"/>
    </row>
    <row r="2" spans="1:21" ht="15.6">
      <c r="M2" s="166" t="s">
        <v>80</v>
      </c>
      <c r="N2" s="166" t="s">
        <v>81</v>
      </c>
      <c r="O2" s="166" t="s">
        <v>82</v>
      </c>
      <c r="P2" s="166" t="s">
        <v>83</v>
      </c>
      <c r="Q2" s="166" t="s">
        <v>84</v>
      </c>
      <c r="R2" s="166" t="s">
        <v>85</v>
      </c>
      <c r="S2" s="166" t="s">
        <v>86</v>
      </c>
      <c r="T2" s="166" t="s">
        <v>87</v>
      </c>
      <c r="U2" s="166" t="s">
        <v>88</v>
      </c>
    </row>
    <row r="3" spans="1:21" ht="15.6">
      <c r="A3" s="1446" t="s">
        <v>89</v>
      </c>
      <c r="B3" s="1446"/>
      <c r="C3" s="1446"/>
      <c r="D3" s="1446"/>
      <c r="E3" s="1446"/>
      <c r="F3" s="1446"/>
      <c r="G3" s="1446"/>
      <c r="H3" s="1446"/>
      <c r="I3" s="1446"/>
      <c r="J3" s="1446"/>
      <c r="K3" s="1446"/>
      <c r="M3" s="194" t="s">
        <v>90</v>
      </c>
      <c r="N3" s="166" t="s">
        <v>91</v>
      </c>
      <c r="O3" s="193"/>
    </row>
    <row r="4" spans="1:21" ht="15.6">
      <c r="A4" s="127"/>
      <c r="B4" s="195"/>
      <c r="M4" s="194" t="s">
        <v>92</v>
      </c>
      <c r="N4" s="166" t="s">
        <v>93</v>
      </c>
      <c r="O4" s="193"/>
    </row>
    <row r="5" spans="1:21" ht="15.6">
      <c r="A5" s="127"/>
      <c r="B5" s="196"/>
      <c r="C5" s="197" t="s">
        <v>94</v>
      </c>
      <c r="D5" s="197" t="s">
        <v>95</v>
      </c>
      <c r="E5" s="1436" t="s">
        <v>96</v>
      </c>
      <c r="F5" s="1437"/>
      <c r="G5" s="197" t="s">
        <v>97</v>
      </c>
      <c r="H5" s="197" t="s">
        <v>98</v>
      </c>
      <c r="I5" s="197" t="s">
        <v>99</v>
      </c>
      <c r="M5" s="194" t="s">
        <v>100</v>
      </c>
      <c r="N5" s="166" t="s">
        <v>101</v>
      </c>
      <c r="O5" s="193"/>
    </row>
    <row r="6" spans="1:21" ht="15.6">
      <c r="A6" s="198" t="s">
        <v>102</v>
      </c>
      <c r="B6" s="196"/>
      <c r="C6" s="65"/>
      <c r="D6" s="1381" t="s">
        <v>1386</v>
      </c>
      <c r="E6" s="1438" t="s">
        <v>1385</v>
      </c>
      <c r="F6" s="1439"/>
      <c r="G6" s="1382" t="s">
        <v>1387</v>
      </c>
      <c r="H6" s="1383">
        <v>5206423492</v>
      </c>
      <c r="I6" s="85"/>
      <c r="M6" s="194" t="s">
        <v>103</v>
      </c>
      <c r="N6" s="166" t="s">
        <v>104</v>
      </c>
      <c r="O6" s="193"/>
    </row>
    <row r="7" spans="1:21" ht="15.75" customHeight="1">
      <c r="A7" s="199" t="s">
        <v>105</v>
      </c>
      <c r="B7" s="196"/>
      <c r="C7" s="65"/>
      <c r="D7" s="1381"/>
      <c r="E7" s="1440"/>
      <c r="F7" s="1441"/>
      <c r="G7" s="1382"/>
      <c r="H7" s="1383"/>
      <c r="I7" s="85"/>
      <c r="J7" s="1432" t="str">
        <f>IF(AND(G9="",G10=""),"The Superintendent and Business Manager email addresses are used to distribute important budget information. If your district does not have a Business Manager, please fill in an alternate contact to receive budget updates. ","")</f>
        <v/>
      </c>
      <c r="K7" s="1433"/>
      <c r="L7" s="1433"/>
      <c r="M7" s="194" t="s">
        <v>106</v>
      </c>
      <c r="N7" s="193"/>
      <c r="O7" s="193"/>
    </row>
    <row r="8" spans="1:21">
      <c r="A8" s="199" t="s">
        <v>107</v>
      </c>
      <c r="B8" s="196"/>
      <c r="C8" s="65"/>
      <c r="D8" s="1381" t="s">
        <v>1363</v>
      </c>
      <c r="E8" s="1440" t="s">
        <v>1364</v>
      </c>
      <c r="F8" s="1441"/>
      <c r="G8" s="1381" t="s">
        <v>1365</v>
      </c>
      <c r="H8" s="1383">
        <v>5208263328</v>
      </c>
      <c r="I8" s="85"/>
      <c r="J8" s="1432"/>
      <c r="K8" s="1433"/>
      <c r="L8" s="1433"/>
      <c r="M8" s="194" t="s">
        <v>108</v>
      </c>
      <c r="N8" s="193"/>
      <c r="O8" s="193"/>
    </row>
    <row r="9" spans="1:21">
      <c r="A9" s="201" t="s">
        <v>109</v>
      </c>
      <c r="B9" s="196"/>
      <c r="C9" s="65"/>
      <c r="D9" s="1381" t="s">
        <v>1388</v>
      </c>
      <c r="E9" s="1442" t="s">
        <v>1389</v>
      </c>
      <c r="F9" s="1443"/>
      <c r="G9" s="1381" t="s">
        <v>1390</v>
      </c>
      <c r="H9" s="1383">
        <v>5206423492</v>
      </c>
      <c r="I9" s="85"/>
      <c r="J9" s="1432"/>
      <c r="K9" s="1433"/>
      <c r="L9" s="1433"/>
      <c r="M9" s="194" t="s">
        <v>110</v>
      </c>
      <c r="N9" s="193"/>
      <c r="O9" s="193"/>
    </row>
    <row r="10" spans="1:21">
      <c r="A10" s="201" t="s">
        <v>111</v>
      </c>
      <c r="B10" s="196"/>
      <c r="C10" s="65"/>
      <c r="D10" s="1381"/>
      <c r="E10" s="1440"/>
      <c r="F10" s="1441"/>
      <c r="G10" s="1384"/>
      <c r="H10" s="1383"/>
      <c r="I10" s="85"/>
      <c r="J10" s="1432"/>
      <c r="K10" s="1433"/>
      <c r="L10" s="1433"/>
      <c r="M10" s="194" t="s">
        <v>112</v>
      </c>
      <c r="N10" s="193"/>
      <c r="O10" s="193"/>
    </row>
    <row r="11" spans="1:21">
      <c r="A11" s="201" t="s">
        <v>113</v>
      </c>
      <c r="B11" s="196"/>
      <c r="C11" s="65"/>
      <c r="D11" s="1381"/>
      <c r="E11" s="1440"/>
      <c r="F11" s="1441"/>
      <c r="G11" s="1384"/>
      <c r="H11" s="1383"/>
      <c r="I11" s="85"/>
      <c r="J11" s="1432"/>
      <c r="K11" s="1433"/>
      <c r="L11" s="1433"/>
      <c r="M11" s="194" t="s">
        <v>114</v>
      </c>
      <c r="N11" s="193"/>
      <c r="O11" s="193"/>
    </row>
    <row r="12" spans="1:21">
      <c r="A12" s="201" t="s">
        <v>115</v>
      </c>
      <c r="B12" s="196"/>
      <c r="C12" s="65"/>
      <c r="D12" s="1381" t="s">
        <v>1388</v>
      </c>
      <c r="E12" s="1442" t="s">
        <v>1389</v>
      </c>
      <c r="F12" s="1443"/>
      <c r="G12" s="1381" t="s">
        <v>1390</v>
      </c>
      <c r="H12" s="1383">
        <v>5206423492</v>
      </c>
      <c r="I12" s="85"/>
      <c r="J12" s="1432"/>
      <c r="K12" s="1433"/>
      <c r="L12" s="1433"/>
      <c r="M12" s="194" t="s">
        <v>116</v>
      </c>
      <c r="N12" s="193"/>
      <c r="O12" s="193"/>
    </row>
    <row r="13" spans="1:21">
      <c r="A13" s="201" t="s">
        <v>117</v>
      </c>
      <c r="B13" s="196"/>
      <c r="C13" s="66"/>
      <c r="D13" s="66" t="s">
        <v>1366</v>
      </c>
      <c r="E13" s="1444" t="s">
        <v>1367</v>
      </c>
      <c r="F13" s="1445"/>
      <c r="G13" s="66" t="s">
        <v>1368</v>
      </c>
      <c r="H13" s="1383">
        <v>5206423492</v>
      </c>
      <c r="I13" s="85"/>
      <c r="J13" s="1432"/>
      <c r="K13" s="1433"/>
      <c r="L13" s="1433"/>
      <c r="M13" s="194" t="s">
        <v>118</v>
      </c>
      <c r="N13" s="193"/>
      <c r="O13" s="193"/>
    </row>
    <row r="14" spans="1:21">
      <c r="A14" s="201" t="s">
        <v>119</v>
      </c>
      <c r="B14" s="196"/>
      <c r="C14" s="65"/>
      <c r="D14" s="1381" t="s">
        <v>1366</v>
      </c>
      <c r="E14" s="1440" t="s">
        <v>1367</v>
      </c>
      <c r="F14" s="1441"/>
      <c r="G14" s="1381" t="s">
        <v>1368</v>
      </c>
      <c r="H14" s="1383">
        <v>5206423492</v>
      </c>
      <c r="I14" s="85"/>
      <c r="J14" s="1432"/>
      <c r="K14" s="1433"/>
      <c r="L14" s="1433"/>
      <c r="M14" s="194" t="s">
        <v>120</v>
      </c>
    </row>
    <row r="15" spans="1:21">
      <c r="A15" s="201" t="s">
        <v>121</v>
      </c>
      <c r="B15" s="196"/>
      <c r="C15" s="65"/>
      <c r="D15" s="1381" t="s">
        <v>1369</v>
      </c>
      <c r="E15" s="1440" t="s">
        <v>1370</v>
      </c>
      <c r="F15" s="1441"/>
      <c r="G15" s="1381" t="s">
        <v>1371</v>
      </c>
      <c r="H15" s="1383">
        <v>5206423492</v>
      </c>
      <c r="I15" s="85"/>
      <c r="J15" s="1432"/>
      <c r="K15" s="1433"/>
      <c r="L15" s="1433"/>
      <c r="M15" s="194" t="s">
        <v>122</v>
      </c>
    </row>
    <row r="16" spans="1:21" ht="15.6">
      <c r="A16" s="201" t="s">
        <v>123</v>
      </c>
      <c r="B16" s="203"/>
      <c r="C16" s="65"/>
      <c r="D16" s="1381" t="s">
        <v>1372</v>
      </c>
      <c r="E16" s="1440" t="s">
        <v>1373</v>
      </c>
      <c r="F16" s="1441"/>
      <c r="G16" s="1381" t="s">
        <v>1374</v>
      </c>
      <c r="H16" s="1383">
        <v>5206423492</v>
      </c>
      <c r="I16" s="85"/>
      <c r="J16" s="200"/>
      <c r="K16" s="200"/>
      <c r="L16" s="200"/>
      <c r="M16" s="194" t="s">
        <v>124</v>
      </c>
    </row>
    <row r="17" spans="1:13" ht="15.6">
      <c r="A17" s="201" t="s">
        <v>125</v>
      </c>
      <c r="B17" s="203"/>
      <c r="C17" s="65"/>
      <c r="D17" s="1381" t="s">
        <v>1386</v>
      </c>
      <c r="E17" s="1440" t="s">
        <v>1385</v>
      </c>
      <c r="F17" s="1441"/>
      <c r="G17" s="1381" t="s">
        <v>1387</v>
      </c>
      <c r="H17" s="1383">
        <v>5206423492</v>
      </c>
      <c r="I17" s="85"/>
      <c r="J17" s="204"/>
      <c r="K17" s="204"/>
      <c r="L17" s="204"/>
      <c r="M17" s="205" t="s">
        <v>126</v>
      </c>
    </row>
    <row r="18" spans="1:13" ht="15.6">
      <c r="A18" s="201" t="s">
        <v>127</v>
      </c>
      <c r="B18" s="203"/>
      <c r="C18" s="65"/>
      <c r="D18" s="1381"/>
      <c r="E18" s="1440"/>
      <c r="F18" s="1441"/>
      <c r="G18" s="1381"/>
      <c r="H18" s="1383"/>
      <c r="I18" s="85"/>
      <c r="J18" s="204"/>
      <c r="K18" s="204"/>
      <c r="L18" s="204"/>
    </row>
    <row r="19" spans="1:13" ht="15.6">
      <c r="A19" s="201" t="s">
        <v>128</v>
      </c>
      <c r="B19" s="203"/>
      <c r="C19" s="65"/>
      <c r="D19" s="1381" t="s">
        <v>1375</v>
      </c>
      <c r="E19" s="1440" t="s">
        <v>1376</v>
      </c>
      <c r="F19" s="1441"/>
      <c r="G19" s="1381" t="s">
        <v>1377</v>
      </c>
      <c r="H19" s="1383">
        <v>5206423492</v>
      </c>
      <c r="I19" s="85"/>
      <c r="J19" s="200"/>
      <c r="K19" s="200"/>
      <c r="L19" s="200"/>
      <c r="M19" s="207"/>
    </row>
    <row r="20" spans="1:13" ht="15.6">
      <c r="A20" s="201" t="s">
        <v>129</v>
      </c>
      <c r="B20" s="203"/>
      <c r="C20" s="65"/>
      <c r="D20" s="1381" t="s">
        <v>1378</v>
      </c>
      <c r="E20" s="1440" t="s">
        <v>1379</v>
      </c>
      <c r="F20" s="1441"/>
      <c r="G20" s="1381" t="s">
        <v>1395</v>
      </c>
      <c r="H20" s="1383">
        <v>5206423492</v>
      </c>
      <c r="I20" s="85"/>
      <c r="J20" s="200"/>
      <c r="K20" s="200"/>
      <c r="L20" s="200"/>
      <c r="M20" s="207"/>
    </row>
    <row r="21" spans="1:13" ht="15.6">
      <c r="A21" s="201" t="s">
        <v>130</v>
      </c>
      <c r="B21" s="203"/>
      <c r="C21" s="65"/>
      <c r="D21" s="1381"/>
      <c r="E21" s="1440"/>
      <c r="F21" s="1441"/>
      <c r="G21" s="1381"/>
      <c r="H21" s="1383"/>
      <c r="I21" s="85"/>
      <c r="J21" s="200"/>
      <c r="K21" s="200"/>
      <c r="L21" s="200"/>
      <c r="M21" s="207"/>
    </row>
    <row r="22" spans="1:13" ht="15.6">
      <c r="A22" s="201" t="s">
        <v>131</v>
      </c>
      <c r="B22" s="203"/>
      <c r="C22" s="65"/>
      <c r="D22" s="1381"/>
      <c r="E22" s="1440"/>
      <c r="F22" s="1441"/>
      <c r="G22" s="1381"/>
      <c r="H22" s="1383"/>
      <c r="I22" s="85"/>
      <c r="J22" s="200"/>
      <c r="K22" s="200"/>
      <c r="L22" s="200"/>
    </row>
    <row r="23" spans="1:13" ht="15.6">
      <c r="A23" s="201" t="s">
        <v>131</v>
      </c>
      <c r="B23" s="203"/>
      <c r="C23" s="65"/>
      <c r="D23" s="1381"/>
      <c r="E23" s="1440"/>
      <c r="F23" s="1441"/>
      <c r="G23" s="1381"/>
      <c r="H23" s="1383"/>
      <c r="I23" s="85"/>
      <c r="J23" s="200"/>
      <c r="K23" s="200"/>
      <c r="L23" s="200"/>
    </row>
    <row r="24" spans="1:13" ht="15.6">
      <c r="A24" s="199" t="s">
        <v>131</v>
      </c>
      <c r="B24" s="196"/>
      <c r="C24" s="65"/>
      <c r="D24" s="1381" t="s">
        <v>1380</v>
      </c>
      <c r="E24" s="1440" t="s">
        <v>1381</v>
      </c>
      <c r="F24" s="1441"/>
      <c r="G24" s="1381" t="s">
        <v>1396</v>
      </c>
      <c r="H24" s="1383"/>
      <c r="I24" s="85"/>
      <c r="J24" s="200"/>
      <c r="K24" s="200"/>
      <c r="L24" s="200"/>
    </row>
    <row r="25" spans="1:13" ht="15" customHeight="1">
      <c r="A25" s="199" t="s">
        <v>131</v>
      </c>
      <c r="B25" s="195"/>
      <c r="C25" s="65"/>
      <c r="D25" s="1381" t="s">
        <v>1382</v>
      </c>
      <c r="E25" s="1440" t="s">
        <v>1383</v>
      </c>
      <c r="F25" s="1441"/>
      <c r="G25" s="1381" t="s">
        <v>1397</v>
      </c>
      <c r="H25" s="1383"/>
      <c r="I25" s="85"/>
      <c r="J25" s="200"/>
      <c r="K25" s="200"/>
      <c r="L25" s="200"/>
    </row>
    <row r="26" spans="1:13">
      <c r="A26" s="199" t="s">
        <v>131</v>
      </c>
      <c r="B26" s="195"/>
      <c r="C26" s="66"/>
      <c r="D26" s="1381" t="s">
        <v>1384</v>
      </c>
      <c r="E26" s="1392" t="s">
        <v>1385</v>
      </c>
      <c r="F26" s="1393"/>
      <c r="G26" s="1381" t="s">
        <v>1398</v>
      </c>
      <c r="H26" s="1383"/>
      <c r="I26" s="85"/>
    </row>
    <row r="27" spans="1:13">
      <c r="A27" s="199" t="s">
        <v>131</v>
      </c>
      <c r="B27" s="195"/>
      <c r="C27" s="65"/>
      <c r="D27" s="65"/>
      <c r="E27" s="1430"/>
      <c r="F27" s="1431"/>
      <c r="G27" s="65"/>
      <c r="H27" s="67"/>
      <c r="I27" s="85"/>
    </row>
    <row r="28" spans="1:13">
      <c r="A28" s="199" t="s">
        <v>131</v>
      </c>
      <c r="B28" s="195"/>
      <c r="C28" s="65"/>
      <c r="D28" s="65"/>
      <c r="E28" s="1430"/>
      <c r="F28" s="1431"/>
      <c r="G28" s="65"/>
      <c r="H28" s="67"/>
      <c r="I28" s="85"/>
    </row>
    <row r="29" spans="1:13">
      <c r="A29" s="199" t="s">
        <v>131</v>
      </c>
      <c r="B29" s="195"/>
      <c r="C29" s="65"/>
      <c r="D29" s="65"/>
      <c r="E29" s="1430"/>
      <c r="F29" s="1431"/>
      <c r="G29" s="65"/>
      <c r="H29" s="67"/>
      <c r="I29" s="85"/>
    </row>
    <row r="30" spans="1:13">
      <c r="A30" s="199" t="s">
        <v>131</v>
      </c>
      <c r="B30" s="195"/>
      <c r="C30" s="65"/>
      <c r="D30" s="65"/>
      <c r="E30" s="1430"/>
      <c r="F30" s="1431"/>
      <c r="G30" s="65"/>
      <c r="H30" s="67"/>
      <c r="I30" s="85"/>
    </row>
    <row r="31" spans="1:13">
      <c r="A31" s="199"/>
      <c r="B31" s="195"/>
      <c r="C31" s="196"/>
      <c r="D31" s="196"/>
      <c r="E31" s="196"/>
      <c r="F31" s="196"/>
      <c r="G31" s="196"/>
      <c r="H31" s="208"/>
    </row>
    <row r="32" spans="1:13">
      <c r="A32" s="199"/>
      <c r="B32" s="195"/>
      <c r="C32" s="196"/>
      <c r="D32" s="1449" t="s">
        <v>132</v>
      </c>
      <c r="E32" s="1449"/>
      <c r="F32" s="196"/>
      <c r="G32" s="196"/>
      <c r="H32" s="196"/>
    </row>
    <row r="33" spans="1:8">
      <c r="A33" s="196" t="s">
        <v>133</v>
      </c>
      <c r="B33" s="195"/>
      <c r="C33" s="196"/>
      <c r="D33" s="1447" t="s">
        <v>124</v>
      </c>
      <c r="E33" s="1448"/>
      <c r="F33" s="196"/>
      <c r="G33" s="195"/>
      <c r="H33" s="196"/>
    </row>
    <row r="34" spans="1:8" ht="8.25" customHeight="1">
      <c r="A34" s="196"/>
      <c r="B34" s="195"/>
      <c r="C34" s="196"/>
      <c r="D34" s="199"/>
      <c r="E34" s="199"/>
      <c r="F34" s="196"/>
      <c r="G34" s="195"/>
      <c r="H34" s="196"/>
    </row>
    <row r="35" spans="1:8">
      <c r="A35" s="196" t="s">
        <v>134</v>
      </c>
      <c r="B35" s="195"/>
      <c r="C35" s="196"/>
      <c r="D35" s="1430" t="s">
        <v>91</v>
      </c>
      <c r="E35" s="1431"/>
      <c r="F35" s="196"/>
      <c r="G35" s="65"/>
      <c r="H35" s="196"/>
    </row>
    <row r="36" spans="1:8" ht="8.25" customHeight="1">
      <c r="A36" s="196"/>
      <c r="B36" s="195"/>
      <c r="C36" s="196"/>
      <c r="D36" s="209"/>
      <c r="E36" s="209"/>
      <c r="F36" s="196"/>
      <c r="G36" s="210"/>
      <c r="H36" s="196"/>
    </row>
    <row r="37" spans="1:8">
      <c r="A37" s="211" t="s">
        <v>135</v>
      </c>
      <c r="B37" s="195"/>
      <c r="C37" s="196"/>
      <c r="D37" s="1434"/>
      <c r="E37" s="1435"/>
      <c r="F37" s="196"/>
      <c r="G37" s="210"/>
      <c r="H37" s="196"/>
    </row>
    <row r="38" spans="1:8" ht="8.25" customHeight="1">
      <c r="A38" s="127"/>
      <c r="B38" s="195"/>
    </row>
    <row r="39" spans="1:8" ht="15.6">
      <c r="A39" s="127" t="s">
        <v>136</v>
      </c>
      <c r="B39" s="195"/>
      <c r="D39" s="1428" t="s">
        <v>1392</v>
      </c>
      <c r="E39" s="1429"/>
    </row>
  </sheetData>
  <sheetProtection sheet="1" formatCells="0" formatColumns="0" formatRows="0"/>
  <mergeCells count="32">
    <mergeCell ref="E13:F13"/>
    <mergeCell ref="E24:F24"/>
    <mergeCell ref="A3:K3"/>
    <mergeCell ref="D33:E33"/>
    <mergeCell ref="D32:E32"/>
    <mergeCell ref="E23:F23"/>
    <mergeCell ref="E14:F14"/>
    <mergeCell ref="E15:F15"/>
    <mergeCell ref="E16:F16"/>
    <mergeCell ref="E17:F17"/>
    <mergeCell ref="E18:F18"/>
    <mergeCell ref="E27:F27"/>
    <mergeCell ref="E28:F28"/>
    <mergeCell ref="E29:F29"/>
    <mergeCell ref="E30:F30"/>
    <mergeCell ref="E25:F25"/>
    <mergeCell ref="D39:E39"/>
    <mergeCell ref="D35:E35"/>
    <mergeCell ref="J7:L15"/>
    <mergeCell ref="D37:E37"/>
    <mergeCell ref="E5:F5"/>
    <mergeCell ref="E6:F6"/>
    <mergeCell ref="E7:F7"/>
    <mergeCell ref="E8:F8"/>
    <mergeCell ref="E9:F9"/>
    <mergeCell ref="E10:F10"/>
    <mergeCell ref="E11:F11"/>
    <mergeCell ref="E12:F12"/>
    <mergeCell ref="E19:F19"/>
    <mergeCell ref="E20:F20"/>
    <mergeCell ref="E21:F21"/>
    <mergeCell ref="E22:F22"/>
  </mergeCells>
  <dataValidations count="8">
    <dataValidation type="list" allowBlank="1" showInputMessage="1" showErrorMessage="1" sqref="F32">
      <formula1>$M$2:$U$2</formula1>
    </dataValidation>
    <dataValidation type="list" allowBlank="1" showInputMessage="1" showErrorMessage="1" sqref="C32 C6:C30">
      <formula1>$M$1:$Q$1</formula1>
    </dataValidation>
    <dataValidation type="custom" allowBlank="1" showInputMessage="1" showErrorMessage="1" errorTitle="Telephone Number" error="This cell will only accept entries with 10 digits, no dashes or parenthesis." promptTitle="Telephone Number" prompt="Telephone number will format automatically. Enter number with no dashes or parenthesis." sqref="H6">
      <formula1>AND(ISNUMBER(H6),LEN(H6)=10)</formula1>
    </dataValidation>
    <dataValidation type="list" allowBlank="1" showInputMessage="1" showErrorMessage="1" promptTitle="Accounting Information System" prompt="Select the accounting information system the district will use in the budget year from the dropdown list." sqref="E35 D35">
      <formula1>$N$3:$N$6</formula1>
    </dataValidation>
    <dataValidation allowBlank="1" showInputMessage="1" showErrorMessage="1" promptTitle="District's home page web address" prompt="Please include www. when entering the web address of the district's home page." sqref="D39:E39"/>
    <dataValidation type="custom" allowBlank="1" showInputMessage="1" showErrorMessage="1" promptTitle="Telephone Number" prompt="Telephone number will format automatically. Enter number with no dashes or parenthesis." sqref="H7:H30">
      <formula1>AND(ISNUMBER(H7),LEN(H7)=10)</formula1>
    </dataValidation>
    <dataValidation allowBlank="1" showInputMessage="1" showErrorMessage="1" errorTitle="Email Address" error="Please enter a valid email address in the following format: UserName@domain.XXX" promptTitle="Email Address" prompt="Please enter a valid email address in the following format: UserName@domain including any valid email domain such as .gov, .k12.az.us, .org, etc." sqref="G6:G30"/>
    <dataValidation type="list" showInputMessage="1" showErrorMessage="1" error="Please select a vendor from the drop down list." sqref="D33:E33">
      <formula1>$M$3:$M$17</formula1>
    </dataValidation>
  </dataValidations>
  <pageMargins left="0.7" right="0.7" top="0.75" bottom="0.75" header="0.3" footer="0.3"/>
  <pageSetup paperSize="5" scale="86" orientation="landscape" r:id="rId1"/>
  <headerFooter>
    <oddFooter>&amp;L&amp;"Times New Roman,Bold"&amp;9Rev. 5/23 &amp;K000000Arizona Department of Education and Auditor General&amp;C&amp;"Times New Roman,Bold"&amp;9&amp;D  &amp;T&amp;R&amp;"Times New Roman,Bold"&amp;9District Contact Info</oddFooter>
  </headerFooter>
  <drawing r:id="rId2"/>
</worksheet>
</file>

<file path=xl/worksheets/sheet3.xml><?xml version="1.0" encoding="utf-8"?>
<worksheet xmlns="http://schemas.openxmlformats.org/spreadsheetml/2006/main" xmlns:r="http://schemas.openxmlformats.org/officeDocument/2006/relationships">
  <sheetPr transitionEvaluation="1" transitionEntry="1">
    <pageSetUpPr fitToPage="1"/>
  </sheetPr>
  <dimension ref="A1:O49"/>
  <sheetViews>
    <sheetView showGridLines="0" topLeftCell="A10" workbookViewId="0">
      <selection activeCell="I18" sqref="I18"/>
    </sheetView>
  </sheetViews>
  <sheetFormatPr defaultColWidth="9.90625" defaultRowHeight="15.6"/>
  <cols>
    <col min="1" max="2" width="16.90625" style="127" customWidth="1"/>
    <col min="3" max="3" width="3.90625" style="127" customWidth="1"/>
    <col min="4" max="5" width="5.90625" style="127" customWidth="1"/>
    <col min="6" max="12" width="11.90625" style="127" customWidth="1"/>
    <col min="13" max="13" width="6.90625" style="127" customWidth="1"/>
    <col min="14" max="14" width="3.90625" style="217" customWidth="1"/>
    <col min="15" max="16" width="9.90625" style="127" customWidth="1"/>
    <col min="17" max="16384" width="9.90625" style="127"/>
  </cols>
  <sheetData>
    <row r="1" spans="1:15">
      <c r="A1" s="125" t="s">
        <v>71</v>
      </c>
      <c r="B1" s="1459" t="str">
        <f>DistrictName</f>
        <v>Valley Union High School District</v>
      </c>
      <c r="C1" s="1460"/>
      <c r="D1" s="1460"/>
      <c r="E1" s="1460"/>
      <c r="F1" s="125" t="s">
        <v>72</v>
      </c>
      <c r="G1" s="126" t="str">
        <f>Cover!H1</f>
        <v>Cochise</v>
      </c>
      <c r="H1"/>
      <c r="I1" s="125" t="s">
        <v>73</v>
      </c>
      <c r="J1" s="190" t="str">
        <f>CTD</f>
        <v>020522000</v>
      </c>
      <c r="K1" s="191"/>
      <c r="L1" s="125" t="s">
        <v>74</v>
      </c>
      <c r="M1" s="1464" t="str">
        <f>Cover!C8</f>
        <v>Proposed</v>
      </c>
      <c r="N1" s="1465"/>
      <c r="O1" s="179"/>
    </row>
    <row r="2" spans="1:15" ht="16.5" customHeight="1">
      <c r="A2" s="213" t="s">
        <v>137</v>
      </c>
      <c r="B2" s="213"/>
      <c r="C2" s="213"/>
      <c r="D2" s="214" t="s">
        <v>138</v>
      </c>
      <c r="E2" s="214"/>
      <c r="F2" s="215"/>
      <c r="G2" s="215"/>
      <c r="H2" s="215"/>
      <c r="I2" s="215"/>
      <c r="J2" s="215"/>
      <c r="K2" s="215"/>
      <c r="L2" s="215"/>
      <c r="M2" s="216"/>
    </row>
    <row r="3" spans="1:15" ht="12" customHeight="1">
      <c r="A3" s="218"/>
      <c r="B3" s="124"/>
      <c r="C3" s="124"/>
      <c r="D3" s="219"/>
      <c r="E3" s="138"/>
      <c r="F3" s="220"/>
      <c r="G3" s="220" t="s">
        <v>139</v>
      </c>
      <c r="H3" s="220" t="s">
        <v>140</v>
      </c>
      <c r="I3" s="220"/>
      <c r="J3" s="220"/>
      <c r="K3" s="221" t="s">
        <v>141</v>
      </c>
      <c r="L3" s="221"/>
      <c r="M3" s="222"/>
    </row>
    <row r="4" spans="1:15" ht="12" customHeight="1">
      <c r="A4" s="136"/>
      <c r="B4" s="124"/>
      <c r="C4" s="124"/>
      <c r="D4" s="223" t="s">
        <v>142</v>
      </c>
      <c r="E4" s="221"/>
      <c r="F4" s="220" t="s">
        <v>143</v>
      </c>
      <c r="G4" s="220" t="s">
        <v>144</v>
      </c>
      <c r="H4" s="220" t="s">
        <v>145</v>
      </c>
      <c r="I4" s="220" t="s">
        <v>146</v>
      </c>
      <c r="J4" s="220" t="s">
        <v>147</v>
      </c>
      <c r="K4" s="134" t="s">
        <v>148</v>
      </c>
      <c r="L4" s="224" t="s">
        <v>149</v>
      </c>
      <c r="M4" s="220" t="s">
        <v>150</v>
      </c>
    </row>
    <row r="5" spans="1:15" ht="12" customHeight="1">
      <c r="A5" s="225" t="s">
        <v>151</v>
      </c>
      <c r="C5" s="124"/>
      <c r="D5" s="220" t="s">
        <v>148</v>
      </c>
      <c r="E5" s="134" t="s">
        <v>149</v>
      </c>
      <c r="F5" s="226"/>
      <c r="G5" s="226"/>
      <c r="H5" s="220" t="s">
        <v>152</v>
      </c>
      <c r="I5" s="220"/>
      <c r="J5" s="220"/>
      <c r="K5" s="134" t="s">
        <v>3</v>
      </c>
      <c r="L5" s="224" t="s">
        <v>3</v>
      </c>
      <c r="M5" s="220" t="s">
        <v>153</v>
      </c>
    </row>
    <row r="6" spans="1:15" ht="12" customHeight="1">
      <c r="A6" s="227"/>
      <c r="B6" s="228"/>
      <c r="C6" s="229"/>
      <c r="D6" s="230" t="s">
        <v>3</v>
      </c>
      <c r="E6" s="231" t="s">
        <v>3</v>
      </c>
      <c r="F6" s="230" t="s">
        <v>154</v>
      </c>
      <c r="G6" s="230" t="s">
        <v>155</v>
      </c>
      <c r="H6" s="230" t="s">
        <v>156</v>
      </c>
      <c r="I6" s="230">
        <v>6600</v>
      </c>
      <c r="J6" s="230" t="s">
        <v>157</v>
      </c>
      <c r="K6" s="231">
        <v>2023</v>
      </c>
      <c r="L6" s="232">
        <v>2024</v>
      </c>
      <c r="M6" s="230" t="s">
        <v>158</v>
      </c>
    </row>
    <row r="7" spans="1:15" ht="11.25" customHeight="1">
      <c r="A7" s="136" t="s">
        <v>159</v>
      </c>
      <c r="B7" s="124"/>
      <c r="C7" s="124"/>
      <c r="D7" s="1461">
        <f>[1]!F001P100F1000Personnel</f>
        <v>0</v>
      </c>
      <c r="E7" s="233"/>
      <c r="F7" s="234"/>
      <c r="G7" s="234"/>
      <c r="H7" s="234"/>
      <c r="I7" s="234"/>
      <c r="J7" s="234"/>
      <c r="K7" s="1467">
        <f>[1]!F001P100F1000</f>
        <v>696000</v>
      </c>
      <c r="L7" s="1466">
        <f>SUM(F8:J8)</f>
        <v>642434</v>
      </c>
      <c r="M7" s="1455">
        <f>IF(K7=L7,0,IF(K7&gt;0,(L7-K7)/K7,""))</f>
        <v>-7.6999999999999999E-2</v>
      </c>
      <c r="N7" s="132"/>
    </row>
    <row r="8" spans="1:15" ht="11.25" customHeight="1">
      <c r="A8" s="136" t="s">
        <v>160</v>
      </c>
      <c r="B8" s="124"/>
      <c r="C8" s="235" t="s">
        <v>6</v>
      </c>
      <c r="D8" s="1458"/>
      <c r="E8" s="36"/>
      <c r="F8" s="4">
        <v>400000</v>
      </c>
      <c r="G8" s="4">
        <v>200000</v>
      </c>
      <c r="H8" s="4">
        <v>10000</v>
      </c>
      <c r="I8" s="4">
        <v>31434</v>
      </c>
      <c r="J8" s="4">
        <v>1000</v>
      </c>
      <c r="K8" s="1468"/>
      <c r="L8" s="1451"/>
      <c r="M8" s="1456"/>
      <c r="N8" s="237" t="s">
        <v>6</v>
      </c>
    </row>
    <row r="9" spans="1:15" ht="11.25" customHeight="1">
      <c r="A9" s="136" t="s">
        <v>161</v>
      </c>
      <c r="B9" s="124"/>
      <c r="C9" s="235" t="s">
        <v>53</v>
      </c>
      <c r="D9" s="1462">
        <f>[1]!F001P100F2100Personnel</f>
        <v>0</v>
      </c>
      <c r="E9" s="233"/>
      <c r="F9" s="234"/>
      <c r="G9" s="234"/>
      <c r="H9" s="234"/>
      <c r="I9" s="234"/>
      <c r="J9" s="234"/>
      <c r="K9" s="1469">
        <f>[1]!F001P100F2100</f>
        <v>35000</v>
      </c>
      <c r="L9" s="1466">
        <f>SUM(F10:J10)</f>
        <v>35000</v>
      </c>
      <c r="M9" s="1455">
        <f>IF(K9=L9,0,IF(K9&gt;0,(L9-K9)/K9,""))</f>
        <v>0</v>
      </c>
      <c r="N9" s="237" t="s">
        <v>53</v>
      </c>
    </row>
    <row r="10" spans="1:15" ht="11.25" customHeight="1">
      <c r="A10" s="136" t="s">
        <v>162</v>
      </c>
      <c r="B10" s="124"/>
      <c r="C10" s="235" t="s">
        <v>9</v>
      </c>
      <c r="D10" s="1463"/>
      <c r="E10" s="36"/>
      <c r="F10" s="4">
        <v>30000</v>
      </c>
      <c r="G10" s="4">
        <v>5000</v>
      </c>
      <c r="H10" s="4"/>
      <c r="I10" s="4"/>
      <c r="J10" s="4"/>
      <c r="K10" s="1470"/>
      <c r="L10" s="1451"/>
      <c r="M10" s="1456"/>
      <c r="N10" s="237" t="s">
        <v>9</v>
      </c>
    </row>
    <row r="11" spans="1:15" ht="11.25" customHeight="1">
      <c r="A11" s="136" t="s">
        <v>163</v>
      </c>
      <c r="B11" s="124"/>
      <c r="C11" s="235" t="s">
        <v>24</v>
      </c>
      <c r="D11" s="238">
        <f>[1]!F001P100F2200Personnel</f>
        <v>0</v>
      </c>
      <c r="E11" s="11"/>
      <c r="F11" s="5"/>
      <c r="G11" s="5"/>
      <c r="H11" s="5">
        <v>5000</v>
      </c>
      <c r="I11" s="5">
        <v>5000</v>
      </c>
      <c r="J11" s="5"/>
      <c r="K11" s="241">
        <f>[1]!F001P100F2200</f>
        <v>10000</v>
      </c>
      <c r="L11" s="234">
        <f t="shared" ref="L11:L21" si="0">SUM(F11:J11)</f>
        <v>10000</v>
      </c>
      <c r="M11" s="242">
        <f t="shared" ref="M11:M23" si="1">IF(K11=L11,0,IF(K11&gt;0,(L11-K11)/K11,""))</f>
        <v>0</v>
      </c>
      <c r="N11" s="237" t="s">
        <v>24</v>
      </c>
    </row>
    <row r="12" spans="1:15" ht="11.25" customHeight="1">
      <c r="A12" s="136" t="s">
        <v>164</v>
      </c>
      <c r="B12" s="124"/>
      <c r="C12" s="243" t="s">
        <v>51</v>
      </c>
      <c r="D12" s="238">
        <f>[1]!F001P100F2300Personnel</f>
        <v>0</v>
      </c>
      <c r="E12" s="11"/>
      <c r="F12" s="5">
        <v>80000</v>
      </c>
      <c r="G12" s="5">
        <v>45000</v>
      </c>
      <c r="H12" s="5">
        <v>15000</v>
      </c>
      <c r="I12" s="5">
        <v>5000</v>
      </c>
      <c r="J12" s="5"/>
      <c r="K12" s="241">
        <f>[1]!F001P100F2300</f>
        <v>95000</v>
      </c>
      <c r="L12" s="234">
        <f t="shared" si="0"/>
        <v>145000</v>
      </c>
      <c r="M12" s="242">
        <f t="shared" si="1"/>
        <v>0.52600000000000002</v>
      </c>
      <c r="N12" s="237" t="s">
        <v>51</v>
      </c>
    </row>
    <row r="13" spans="1:15" ht="11.25" customHeight="1">
      <c r="A13" s="136" t="s">
        <v>165</v>
      </c>
      <c r="B13" s="124"/>
      <c r="C13" s="235" t="s">
        <v>166</v>
      </c>
      <c r="D13" s="238">
        <f>[1]!F001P100F2400Personnel</f>
        <v>0</v>
      </c>
      <c r="E13" s="11"/>
      <c r="F13" s="5">
        <v>40000</v>
      </c>
      <c r="G13" s="5">
        <v>10000</v>
      </c>
      <c r="H13" s="5">
        <v>5000</v>
      </c>
      <c r="I13" s="5">
        <v>5000</v>
      </c>
      <c r="J13" s="5">
        <v>1000</v>
      </c>
      <c r="K13" s="241">
        <f>[1]!F001P100F2400</f>
        <v>76000</v>
      </c>
      <c r="L13" s="234">
        <f t="shared" si="0"/>
        <v>61000</v>
      </c>
      <c r="M13" s="242">
        <f t="shared" si="1"/>
        <v>-0.19700000000000001</v>
      </c>
      <c r="N13" s="237" t="s">
        <v>166</v>
      </c>
    </row>
    <row r="14" spans="1:15" ht="11.25" customHeight="1">
      <c r="A14" s="136" t="s">
        <v>167</v>
      </c>
      <c r="B14" s="124"/>
      <c r="C14" s="235" t="s">
        <v>168</v>
      </c>
      <c r="D14" s="239">
        <f>[1]!F001P100F2500Personnel</f>
        <v>0</v>
      </c>
      <c r="E14" s="11"/>
      <c r="F14" s="5">
        <v>40000</v>
      </c>
      <c r="G14" s="5">
        <v>15000</v>
      </c>
      <c r="H14" s="5">
        <v>5000</v>
      </c>
      <c r="I14" s="5">
        <v>5000</v>
      </c>
      <c r="J14" s="5"/>
      <c r="K14" s="240">
        <f>[1]!F001P100F2500</f>
        <v>80000</v>
      </c>
      <c r="L14" s="234">
        <f t="shared" si="0"/>
        <v>65000</v>
      </c>
      <c r="M14" s="242">
        <f t="shared" si="1"/>
        <v>-0.188</v>
      </c>
      <c r="N14" s="237" t="s">
        <v>168</v>
      </c>
    </row>
    <row r="15" spans="1:15" ht="11.25" customHeight="1">
      <c r="A15" s="136" t="s">
        <v>169</v>
      </c>
      <c r="B15" s="124"/>
      <c r="C15" s="235" t="s">
        <v>170</v>
      </c>
      <c r="D15" s="238">
        <f>[1]!F001P100F2600Personnel</f>
        <v>0</v>
      </c>
      <c r="E15" s="11"/>
      <c r="F15" s="5">
        <v>85000</v>
      </c>
      <c r="G15" s="5">
        <v>25000</v>
      </c>
      <c r="H15" s="5">
        <v>81041</v>
      </c>
      <c r="I15" s="5">
        <v>135000</v>
      </c>
      <c r="J15" s="5"/>
      <c r="K15" s="241">
        <f>[1]!F001P100F2600</f>
        <v>326041</v>
      </c>
      <c r="L15" s="234">
        <f t="shared" si="0"/>
        <v>326041</v>
      </c>
      <c r="M15" s="242">
        <f t="shared" si="1"/>
        <v>0</v>
      </c>
      <c r="N15" s="237" t="s">
        <v>170</v>
      </c>
    </row>
    <row r="16" spans="1:15" ht="11.25" customHeight="1">
      <c r="A16" s="136" t="s">
        <v>171</v>
      </c>
      <c r="B16" s="124"/>
      <c r="C16" s="235" t="s">
        <v>172</v>
      </c>
      <c r="D16" s="239">
        <f>[1]!F001P100F2900Personnel</f>
        <v>0</v>
      </c>
      <c r="E16" s="11"/>
      <c r="F16" s="5"/>
      <c r="G16" s="5"/>
      <c r="H16" s="5"/>
      <c r="I16" s="5"/>
      <c r="J16" s="5"/>
      <c r="K16" s="240">
        <f>[1]!F001P100F2900</f>
        <v>0</v>
      </c>
      <c r="L16" s="234">
        <f t="shared" si="0"/>
        <v>0</v>
      </c>
      <c r="M16" s="242">
        <f t="shared" si="1"/>
        <v>0</v>
      </c>
      <c r="N16" s="237" t="s">
        <v>172</v>
      </c>
    </row>
    <row r="17" spans="1:14" ht="11.25" customHeight="1">
      <c r="A17" s="136" t="s">
        <v>173</v>
      </c>
      <c r="B17" s="124"/>
      <c r="C17" s="243" t="s">
        <v>174</v>
      </c>
      <c r="D17" s="238">
        <f>[1]!F001P100F3000Personnel</f>
        <v>0</v>
      </c>
      <c r="E17" s="11"/>
      <c r="F17" s="5">
        <v>15000</v>
      </c>
      <c r="G17" s="5">
        <v>5000</v>
      </c>
      <c r="H17" s="5">
        <v>5000</v>
      </c>
      <c r="I17" s="5">
        <v>5000</v>
      </c>
      <c r="J17" s="5"/>
      <c r="K17" s="241">
        <f>[1]!F001P100F3000</f>
        <v>30000</v>
      </c>
      <c r="L17" s="234">
        <f t="shared" si="0"/>
        <v>30000</v>
      </c>
      <c r="M17" s="242">
        <f t="shared" si="1"/>
        <v>0</v>
      </c>
      <c r="N17" s="237" t="s">
        <v>174</v>
      </c>
    </row>
    <row r="18" spans="1:14" ht="11.25" customHeight="1">
      <c r="A18" s="136" t="s">
        <v>175</v>
      </c>
      <c r="B18" s="124"/>
      <c r="C18" s="244" t="s">
        <v>176</v>
      </c>
      <c r="D18" s="238">
        <f>[1]!F001P610Personnel</f>
        <v>0</v>
      </c>
      <c r="E18" s="11"/>
      <c r="F18" s="4">
        <v>15000</v>
      </c>
      <c r="G18" s="4">
        <v>5000</v>
      </c>
      <c r="H18" s="4">
        <v>0</v>
      </c>
      <c r="I18" s="4">
        <v>5000</v>
      </c>
      <c r="J18" s="4">
        <v>1000</v>
      </c>
      <c r="K18" s="245">
        <f>[1]!F001P610</f>
        <v>26000</v>
      </c>
      <c r="L18" s="234">
        <f t="shared" si="0"/>
        <v>26000</v>
      </c>
      <c r="M18" s="246">
        <f t="shared" si="1"/>
        <v>0</v>
      </c>
      <c r="N18" s="237" t="s">
        <v>176</v>
      </c>
    </row>
    <row r="19" spans="1:14" ht="11.25" customHeight="1">
      <c r="A19" s="136" t="s">
        <v>177</v>
      </c>
      <c r="B19" s="124"/>
      <c r="C19" s="247" t="s">
        <v>178</v>
      </c>
      <c r="D19" s="238">
        <f>[1]!F001P620Personnel</f>
        <v>0</v>
      </c>
      <c r="E19" s="11"/>
      <c r="F19" s="4">
        <v>35000</v>
      </c>
      <c r="G19" s="116">
        <v>15000</v>
      </c>
      <c r="H19" s="4">
        <v>15000</v>
      </c>
      <c r="I19" s="4">
        <v>20000</v>
      </c>
      <c r="J19" s="4">
        <v>5000</v>
      </c>
      <c r="K19" s="245">
        <f>[1]!F001P620</f>
        <v>90000</v>
      </c>
      <c r="L19" s="234">
        <f t="shared" si="0"/>
        <v>90000</v>
      </c>
      <c r="M19" s="246">
        <f t="shared" si="1"/>
        <v>0</v>
      </c>
      <c r="N19" s="237" t="s">
        <v>178</v>
      </c>
    </row>
    <row r="20" spans="1:14" ht="11.25" customHeight="1">
      <c r="A20" s="136" t="s">
        <v>179</v>
      </c>
      <c r="B20" s="124"/>
      <c r="C20" s="249" t="s">
        <v>180</v>
      </c>
      <c r="D20" s="239">
        <f>[1]!F001P630Personnel</f>
        <v>0</v>
      </c>
      <c r="E20" s="11"/>
      <c r="F20" s="46"/>
      <c r="G20" s="47"/>
      <c r="H20" s="48"/>
      <c r="I20" s="4"/>
      <c r="J20" s="4"/>
      <c r="K20" s="236">
        <f>[1]!F001P630</f>
        <v>0</v>
      </c>
      <c r="L20" s="234">
        <f t="shared" si="0"/>
        <v>0</v>
      </c>
      <c r="M20" s="250">
        <f t="shared" si="1"/>
        <v>0</v>
      </c>
      <c r="N20" s="251" t="s">
        <v>180</v>
      </c>
    </row>
    <row r="21" spans="1:14" ht="11.25" customHeight="1">
      <c r="A21" s="252" t="s">
        <v>181</v>
      </c>
      <c r="B21" s="253"/>
      <c r="C21" s="254" t="s">
        <v>182</v>
      </c>
      <c r="D21" s="255">
        <f>[1]!F001P700800900Personnel</f>
        <v>0</v>
      </c>
      <c r="E21" s="12"/>
      <c r="F21" s="5"/>
      <c r="G21" s="4"/>
      <c r="H21" s="5"/>
      <c r="I21" s="5"/>
      <c r="J21" s="5"/>
      <c r="K21" s="240">
        <f>[1]!F001P700800900</f>
        <v>0</v>
      </c>
      <c r="L21" s="234">
        <f t="shared" si="0"/>
        <v>0</v>
      </c>
      <c r="M21" s="256">
        <f t="shared" si="1"/>
        <v>0</v>
      </c>
      <c r="N21" s="237" t="s">
        <v>182</v>
      </c>
    </row>
    <row r="22" spans="1:14" ht="11.25" customHeight="1">
      <c r="A22" s="257" t="s">
        <v>183</v>
      </c>
      <c r="B22" s="229"/>
      <c r="C22" s="258" t="s">
        <v>184</v>
      </c>
      <c r="D22" s="259">
        <f>SUM(D7:D21)</f>
        <v>0</v>
      </c>
      <c r="E22" s="255">
        <f t="shared" ref="E22:J22" si="2">E8+SUM(E10:E21)</f>
        <v>0</v>
      </c>
      <c r="F22" s="260">
        <f t="shared" si="2"/>
        <v>740000</v>
      </c>
      <c r="G22" s="260">
        <f t="shared" si="2"/>
        <v>325000</v>
      </c>
      <c r="H22" s="260">
        <f t="shared" si="2"/>
        <v>141041</v>
      </c>
      <c r="I22" s="260">
        <f t="shared" si="2"/>
        <v>216434</v>
      </c>
      <c r="J22" s="260">
        <f t="shared" si="2"/>
        <v>8000</v>
      </c>
      <c r="K22" s="260">
        <f>SUM(K7:K21)</f>
        <v>1464041</v>
      </c>
      <c r="L22" s="260">
        <f>SUM(L7:L21)</f>
        <v>1430475</v>
      </c>
      <c r="M22" s="242">
        <f t="shared" si="1"/>
        <v>-2.3E-2</v>
      </c>
      <c r="N22" s="237" t="s">
        <v>184</v>
      </c>
    </row>
    <row r="23" spans="1:14" ht="11.25" customHeight="1">
      <c r="A23" s="261" t="s">
        <v>185</v>
      </c>
      <c r="B23" s="124"/>
      <c r="C23" s="235"/>
      <c r="D23" s="1461">
        <f>[1]!F001P200F1000Personnel</f>
        <v>0</v>
      </c>
      <c r="E23" s="233"/>
      <c r="F23" s="234"/>
      <c r="G23" s="234"/>
      <c r="H23" s="234"/>
      <c r="I23" s="234"/>
      <c r="J23" s="234"/>
      <c r="K23" s="1469">
        <f>[1]!F001P200F1000</f>
        <v>178000</v>
      </c>
      <c r="L23" s="1466">
        <f>SUM(F24:J24)</f>
        <v>178000</v>
      </c>
      <c r="M23" s="1455">
        <f t="shared" si="1"/>
        <v>0</v>
      </c>
      <c r="N23" s="237"/>
    </row>
    <row r="24" spans="1:14" ht="11.25" customHeight="1">
      <c r="A24" s="136" t="s">
        <v>160</v>
      </c>
      <c r="B24" s="124"/>
      <c r="C24" s="262" t="s">
        <v>186</v>
      </c>
      <c r="D24" s="1458"/>
      <c r="E24" s="36"/>
      <c r="F24" s="4">
        <v>125000</v>
      </c>
      <c r="G24" s="4">
        <v>35000</v>
      </c>
      <c r="H24" s="4">
        <v>3000</v>
      </c>
      <c r="I24" s="4">
        <v>15000</v>
      </c>
      <c r="J24" s="4"/>
      <c r="K24" s="1470"/>
      <c r="L24" s="1451"/>
      <c r="M24" s="1456"/>
      <c r="N24" s="237" t="s">
        <v>186</v>
      </c>
    </row>
    <row r="25" spans="1:14" ht="11.25" customHeight="1">
      <c r="A25" s="136" t="s">
        <v>161</v>
      </c>
      <c r="B25" s="124"/>
      <c r="C25" s="235"/>
      <c r="D25" s="1462">
        <f>[1]!F001P200F2100Personnel</f>
        <v>0</v>
      </c>
      <c r="E25" s="233"/>
      <c r="F25" s="234"/>
      <c r="G25" s="234"/>
      <c r="H25" s="234"/>
      <c r="I25" s="234"/>
      <c r="J25" s="234"/>
      <c r="K25" s="1469">
        <f>[1]!F001P200F2100</f>
        <v>35000</v>
      </c>
      <c r="L25" s="1466">
        <f>SUM(F26:J26)</f>
        <v>35000</v>
      </c>
      <c r="M25" s="1455">
        <f>IF(K25=L25,0,IF(K25&gt;0,(L25-K25)/K25,""))</f>
        <v>0</v>
      </c>
      <c r="N25" s="237" t="s">
        <v>53</v>
      </c>
    </row>
    <row r="26" spans="1:14" ht="11.25" customHeight="1">
      <c r="A26" s="136" t="s">
        <v>162</v>
      </c>
      <c r="B26" s="124"/>
      <c r="C26" s="235" t="s">
        <v>187</v>
      </c>
      <c r="D26" s="1463"/>
      <c r="E26" s="36"/>
      <c r="F26" s="4"/>
      <c r="G26" s="4"/>
      <c r="H26" s="4">
        <v>25000</v>
      </c>
      <c r="I26" s="4">
        <v>10000</v>
      </c>
      <c r="J26" s="4"/>
      <c r="K26" s="1470"/>
      <c r="L26" s="1451"/>
      <c r="M26" s="1456"/>
      <c r="N26" s="237" t="s">
        <v>187</v>
      </c>
    </row>
    <row r="27" spans="1:14" ht="11.25" customHeight="1">
      <c r="A27" s="136" t="s">
        <v>163</v>
      </c>
      <c r="B27" s="124"/>
      <c r="C27" s="235" t="s">
        <v>188</v>
      </c>
      <c r="D27" s="238">
        <f>[1]!F001P200F2200Personnel</f>
        <v>0</v>
      </c>
      <c r="E27" s="11"/>
      <c r="F27" s="5">
        <v>5000</v>
      </c>
      <c r="G27" s="5">
        <v>1000</v>
      </c>
      <c r="H27" s="5"/>
      <c r="I27" s="5"/>
      <c r="J27" s="5"/>
      <c r="K27" s="241">
        <f>[1]!F001P200F2200</f>
        <v>6000</v>
      </c>
      <c r="L27" s="234">
        <f t="shared" ref="L27:L33" si="3">SUM(F27:J27)</f>
        <v>6000</v>
      </c>
      <c r="M27" s="242">
        <f t="shared" ref="M27:M35" si="4">IF(K27=L27,0,IF(K27&gt;0,(L27-K27)/K27,""))</f>
        <v>0</v>
      </c>
      <c r="N27" s="237" t="s">
        <v>188</v>
      </c>
    </row>
    <row r="28" spans="1:14" ht="11.25" customHeight="1">
      <c r="A28" s="136" t="s">
        <v>164</v>
      </c>
      <c r="B28" s="124"/>
      <c r="C28" s="235" t="s">
        <v>189</v>
      </c>
      <c r="D28" s="238">
        <f>[1]!F001P200F2300Personnel</f>
        <v>0</v>
      </c>
      <c r="E28" s="11"/>
      <c r="F28" s="5">
        <v>15000</v>
      </c>
      <c r="G28" s="5">
        <v>5000</v>
      </c>
      <c r="H28" s="5">
        <v>3000</v>
      </c>
      <c r="I28" s="5"/>
      <c r="J28" s="5"/>
      <c r="K28" s="241">
        <f>[1]!F001P200F2300</f>
        <v>23000</v>
      </c>
      <c r="L28" s="234">
        <f t="shared" si="3"/>
        <v>23000</v>
      </c>
      <c r="M28" s="242">
        <f t="shared" si="4"/>
        <v>0</v>
      </c>
      <c r="N28" s="237" t="s">
        <v>189</v>
      </c>
    </row>
    <row r="29" spans="1:14" ht="11.25" customHeight="1">
      <c r="A29" s="136" t="s">
        <v>165</v>
      </c>
      <c r="B29" s="124"/>
      <c r="C29" s="235" t="s">
        <v>190</v>
      </c>
      <c r="D29" s="238">
        <f>[1]!F001P200F2400Personnel</f>
        <v>0</v>
      </c>
      <c r="E29" s="11"/>
      <c r="F29" s="5"/>
      <c r="G29" s="5"/>
      <c r="H29" s="5"/>
      <c r="I29" s="5"/>
      <c r="J29" s="5"/>
      <c r="K29" s="241">
        <f>[1]!F001P200F2400</f>
        <v>0</v>
      </c>
      <c r="L29" s="234">
        <f t="shared" si="3"/>
        <v>0</v>
      </c>
      <c r="M29" s="242">
        <f t="shared" si="4"/>
        <v>0</v>
      </c>
      <c r="N29" s="237" t="s">
        <v>190</v>
      </c>
    </row>
    <row r="30" spans="1:14" ht="11.25" customHeight="1">
      <c r="A30" s="136" t="s">
        <v>167</v>
      </c>
      <c r="B30" s="124"/>
      <c r="C30" s="235" t="s">
        <v>191</v>
      </c>
      <c r="D30" s="239">
        <f>[1]!F001P200F2500Personnel</f>
        <v>0</v>
      </c>
      <c r="E30" s="11"/>
      <c r="F30" s="5"/>
      <c r="G30" s="5"/>
      <c r="H30" s="5"/>
      <c r="I30" s="5"/>
      <c r="J30" s="5"/>
      <c r="K30" s="240">
        <f>[1]!F001P200F2500</f>
        <v>0</v>
      </c>
      <c r="L30" s="234">
        <f>SUM(F30:J30)</f>
        <v>0</v>
      </c>
      <c r="M30" s="242">
        <f t="shared" si="4"/>
        <v>0</v>
      </c>
      <c r="N30" s="237" t="s">
        <v>191</v>
      </c>
    </row>
    <row r="31" spans="1:14" ht="11.25" customHeight="1">
      <c r="A31" s="136" t="s">
        <v>169</v>
      </c>
      <c r="B31" s="124"/>
      <c r="C31" s="235" t="s">
        <v>192</v>
      </c>
      <c r="D31" s="238">
        <f>[1]!F001P200F2600Personnel</f>
        <v>0</v>
      </c>
      <c r="E31" s="11"/>
      <c r="F31" s="5"/>
      <c r="G31" s="5"/>
      <c r="H31" s="5">
        <v>20000</v>
      </c>
      <c r="I31" s="5">
        <v>25000</v>
      </c>
      <c r="J31" s="5"/>
      <c r="K31" s="241">
        <f>[1]!F001P200F2600</f>
        <v>45000</v>
      </c>
      <c r="L31" s="234">
        <f t="shared" si="3"/>
        <v>45000</v>
      </c>
      <c r="M31" s="242">
        <f t="shared" si="4"/>
        <v>0</v>
      </c>
      <c r="N31" s="237" t="s">
        <v>192</v>
      </c>
    </row>
    <row r="32" spans="1:14" ht="11.25" customHeight="1">
      <c r="A32" s="136" t="s">
        <v>171</v>
      </c>
      <c r="B32" s="124"/>
      <c r="C32" s="235" t="s">
        <v>193</v>
      </c>
      <c r="D32" s="239">
        <f>[1]!F001P200F2900Personnel</f>
        <v>0</v>
      </c>
      <c r="E32" s="11"/>
      <c r="F32" s="5"/>
      <c r="G32" s="5"/>
      <c r="H32" s="5"/>
      <c r="I32" s="5"/>
      <c r="J32" s="5"/>
      <c r="K32" s="240">
        <f>[1]!F001P200F2900</f>
        <v>0</v>
      </c>
      <c r="L32" s="234">
        <f t="shared" si="3"/>
        <v>0</v>
      </c>
      <c r="M32" s="242">
        <f t="shared" si="4"/>
        <v>0</v>
      </c>
      <c r="N32" s="237" t="s">
        <v>193</v>
      </c>
    </row>
    <row r="33" spans="1:14" ht="11.25" customHeight="1">
      <c r="A33" s="136" t="s">
        <v>173</v>
      </c>
      <c r="B33" s="124"/>
      <c r="C33" s="235" t="s">
        <v>194</v>
      </c>
      <c r="D33" s="238">
        <f>[1]!F001P200F3000Personnel</f>
        <v>0</v>
      </c>
      <c r="E33" s="11"/>
      <c r="F33" s="5"/>
      <c r="G33" s="5"/>
      <c r="H33" s="5"/>
      <c r="I33" s="5"/>
      <c r="J33" s="5"/>
      <c r="K33" s="241">
        <f>[1]!F001P200F3000</f>
        <v>0</v>
      </c>
      <c r="L33" s="234">
        <f t="shared" si="3"/>
        <v>0</v>
      </c>
      <c r="M33" s="242">
        <f t="shared" si="4"/>
        <v>0</v>
      </c>
      <c r="N33" s="237" t="s">
        <v>194</v>
      </c>
    </row>
    <row r="34" spans="1:14" ht="11.25" customHeight="1">
      <c r="A34" s="257" t="s">
        <v>195</v>
      </c>
      <c r="B34" s="229"/>
      <c r="C34" s="258" t="s">
        <v>196</v>
      </c>
      <c r="D34" s="255">
        <f>SUM(D23:D33)</f>
        <v>0</v>
      </c>
      <c r="E34" s="255">
        <f t="shared" ref="E34:J34" si="5">E24+SUM(E26:E33)</f>
        <v>0</v>
      </c>
      <c r="F34" s="260">
        <f t="shared" si="5"/>
        <v>145000</v>
      </c>
      <c r="G34" s="260">
        <f t="shared" si="5"/>
        <v>41000</v>
      </c>
      <c r="H34" s="260">
        <f t="shared" si="5"/>
        <v>51000</v>
      </c>
      <c r="I34" s="260">
        <f t="shared" si="5"/>
        <v>50000</v>
      </c>
      <c r="J34" s="260">
        <f t="shared" si="5"/>
        <v>0</v>
      </c>
      <c r="K34" s="241">
        <f>SUM(K23:K33)</f>
        <v>287000</v>
      </c>
      <c r="L34" s="260">
        <f>SUM(L23:L33)</f>
        <v>287000</v>
      </c>
      <c r="M34" s="242">
        <f t="shared" si="4"/>
        <v>0</v>
      </c>
      <c r="N34" s="237" t="s">
        <v>196</v>
      </c>
    </row>
    <row r="35" spans="1:14" ht="11.25" customHeight="1">
      <c r="A35" s="136" t="s">
        <v>197</v>
      </c>
      <c r="B35" s="124"/>
      <c r="C35" s="235" t="s">
        <v>198</v>
      </c>
      <c r="D35" s="263">
        <f>[1]!F001P400Personnel</f>
        <v>0</v>
      </c>
      <c r="E35" s="114"/>
      <c r="F35" s="113">
        <v>95000</v>
      </c>
      <c r="G35" s="113">
        <v>25000</v>
      </c>
      <c r="H35" s="113">
        <v>50000</v>
      </c>
      <c r="I35" s="113">
        <v>120000</v>
      </c>
      <c r="J35" s="113"/>
      <c r="K35" s="264">
        <f>[1]!F001P400</f>
        <v>290000</v>
      </c>
      <c r="L35" s="234">
        <f>SUM(F35:J35)</f>
        <v>290000</v>
      </c>
      <c r="M35" s="242">
        <f t="shared" si="4"/>
        <v>0</v>
      </c>
      <c r="N35" s="237" t="s">
        <v>198</v>
      </c>
    </row>
    <row r="36" spans="1:14" ht="11.25" customHeight="1">
      <c r="A36" s="218" t="s">
        <v>199</v>
      </c>
      <c r="B36" s="129"/>
      <c r="C36" s="265"/>
      <c r="D36" s="1452">
        <f>[2]!DesegFTEPY</f>
        <v>0</v>
      </c>
      <c r="E36" s="1452">
        <f>[2]!DesegFTEBY</f>
        <v>0</v>
      </c>
      <c r="F36" s="1450">
        <f>[2]!DesegTotalMOO6100</f>
        <v>0</v>
      </c>
      <c r="G36" s="1450">
        <f>[2]!DesegTotalMOO6200</f>
        <v>0</v>
      </c>
      <c r="H36" s="1450">
        <f>[2]!DesegTotalMOO630064006500</f>
        <v>0</v>
      </c>
      <c r="I36" s="1450">
        <f>[2]!DesegTotalMOO6600</f>
        <v>0</v>
      </c>
      <c r="J36" s="1450">
        <f>[2]!DesegTotalMOO6800</f>
        <v>0</v>
      </c>
      <c r="K36" s="1450">
        <f>[2]!DesegTotalMOPY</f>
        <v>0</v>
      </c>
      <c r="L36" s="1450">
        <f>[2]!DesegTotalMOBY</f>
        <v>0</v>
      </c>
      <c r="M36" s="1471">
        <f>[2]!DesegTotalMOPercent</f>
        <v>0</v>
      </c>
      <c r="N36" s="237"/>
    </row>
    <row r="37" spans="1:14" ht="11.25" customHeight="1">
      <c r="A37" s="257" t="s">
        <v>200</v>
      </c>
      <c r="B37" s="229"/>
      <c r="C37" s="258" t="s">
        <v>201</v>
      </c>
      <c r="D37" s="1453"/>
      <c r="E37" s="1453"/>
      <c r="F37" s="1451"/>
      <c r="G37" s="1451"/>
      <c r="H37" s="1451"/>
      <c r="I37" s="1451"/>
      <c r="J37" s="1451"/>
      <c r="K37" s="1451"/>
      <c r="L37" s="1451"/>
      <c r="M37" s="1472"/>
      <c r="N37" s="237" t="s">
        <v>201</v>
      </c>
    </row>
    <row r="38" spans="1:14" ht="11.25" customHeight="1">
      <c r="A38" s="257" t="s">
        <v>202</v>
      </c>
      <c r="B38" s="229"/>
      <c r="C38" s="267" t="s">
        <v>203</v>
      </c>
      <c r="D38" s="239">
        <f>[1]!F001P530Personnel</f>
        <v>0</v>
      </c>
      <c r="E38" s="11"/>
      <c r="F38" s="4"/>
      <c r="G38" s="4"/>
      <c r="H38" s="4"/>
      <c r="I38" s="4"/>
      <c r="J38" s="4"/>
      <c r="K38" s="245">
        <f>[1]!F001P530</f>
        <v>0</v>
      </c>
      <c r="L38" s="234">
        <f>SUM(F38:J38)</f>
        <v>0</v>
      </c>
      <c r="M38" s="246">
        <f>IF(K38=L38,0,IF(K38&gt;0,(L38-K38)/K38,""))</f>
        <v>0</v>
      </c>
      <c r="N38" s="237" t="s">
        <v>203</v>
      </c>
    </row>
    <row r="39" spans="1:14" ht="11.25" customHeight="1">
      <c r="A39" s="136" t="s">
        <v>204</v>
      </c>
      <c r="B39" s="124"/>
      <c r="C39" s="265" t="s">
        <v>53</v>
      </c>
      <c r="D39" s="1452">
        <f>[1]!F001P540Personnel</f>
        <v>0</v>
      </c>
      <c r="E39" s="1452">
        <v>0</v>
      </c>
      <c r="F39" s="1450">
        <v>0</v>
      </c>
      <c r="G39" s="1450">
        <v>0</v>
      </c>
      <c r="H39" s="1450">
        <v>0</v>
      </c>
      <c r="I39" s="1450">
        <v>0</v>
      </c>
      <c r="J39" s="1450">
        <v>0</v>
      </c>
      <c r="K39" s="1450">
        <f>[1]!F001P540</f>
        <v>0</v>
      </c>
      <c r="L39" s="1450">
        <f>SUM(F39:J40)</f>
        <v>0</v>
      </c>
      <c r="M39" s="1455">
        <f>IF(K39=L39,0,IF(K39&gt;0,(L39-K39)/K39,""))</f>
        <v>0</v>
      </c>
      <c r="N39" s="237" t="s">
        <v>53</v>
      </c>
    </row>
    <row r="40" spans="1:14" ht="11.25" customHeight="1">
      <c r="A40" s="257" t="s">
        <v>205</v>
      </c>
      <c r="B40" s="229"/>
      <c r="C40" s="268" t="s">
        <v>206</v>
      </c>
      <c r="D40" s="1458"/>
      <c r="E40" s="1458"/>
      <c r="F40" s="1451"/>
      <c r="G40" s="1451"/>
      <c r="H40" s="1451"/>
      <c r="I40" s="1451"/>
      <c r="J40" s="1451"/>
      <c r="K40" s="1451"/>
      <c r="L40" s="1457"/>
      <c r="M40" s="1456"/>
      <c r="N40" s="237" t="s">
        <v>206</v>
      </c>
    </row>
    <row r="41" spans="1:14" ht="11.25" customHeight="1">
      <c r="A41" s="136" t="s">
        <v>207</v>
      </c>
      <c r="B41" s="124"/>
      <c r="C41" s="267" t="s">
        <v>208</v>
      </c>
      <c r="D41" s="239">
        <f>[1]!F001P550Personnel</f>
        <v>0</v>
      </c>
      <c r="E41" s="39"/>
      <c r="F41" s="40"/>
      <c r="G41" s="40"/>
      <c r="H41" s="40"/>
      <c r="I41" s="40"/>
      <c r="J41" s="40"/>
      <c r="K41" s="269">
        <f>[1]!F001P550</f>
        <v>0</v>
      </c>
      <c r="L41" s="270">
        <f>SUM(F41:J41)</f>
        <v>0</v>
      </c>
      <c r="M41" s="246">
        <f>IF(K41=L41,0,IF(K41&gt;0,(L41-K41)/K41,""))</f>
        <v>0</v>
      </c>
      <c r="N41" s="237" t="s">
        <v>208</v>
      </c>
    </row>
    <row r="42" spans="1:14" ht="11.25" customHeight="1">
      <c r="A42" s="218" t="s">
        <v>209</v>
      </c>
      <c r="B42" s="129"/>
      <c r="C42" s="235"/>
      <c r="D42" s="1452">
        <f t="shared" ref="D42:L42" si="6">SUM(D34:D41)+D22</f>
        <v>0</v>
      </c>
      <c r="E42" s="1452">
        <f t="shared" si="6"/>
        <v>0</v>
      </c>
      <c r="F42" s="1450">
        <f t="shared" si="6"/>
        <v>980000</v>
      </c>
      <c r="G42" s="1450">
        <f t="shared" si="6"/>
        <v>391000</v>
      </c>
      <c r="H42" s="1450">
        <f t="shared" si="6"/>
        <v>242041</v>
      </c>
      <c r="I42" s="1450">
        <f t="shared" si="6"/>
        <v>386434</v>
      </c>
      <c r="J42" s="1450">
        <f t="shared" si="6"/>
        <v>8000</v>
      </c>
      <c r="K42" s="1450">
        <f>[1]!F001TotalExp</f>
        <v>2041041</v>
      </c>
      <c r="L42" s="1450">
        <f t="shared" si="6"/>
        <v>2007475</v>
      </c>
      <c r="M42" s="1455">
        <f>IF(K42=L42,0,IF(K42&gt;0,(L42-K42)/K42,""))</f>
        <v>-1.6E-2</v>
      </c>
      <c r="N42" s="237"/>
    </row>
    <row r="43" spans="1:14" ht="11.25" customHeight="1">
      <c r="A43" s="257" t="s">
        <v>210</v>
      </c>
      <c r="B43" s="229"/>
      <c r="C43" s="258" t="s">
        <v>211</v>
      </c>
      <c r="D43" s="1458"/>
      <c r="E43" s="1458"/>
      <c r="F43" s="1451"/>
      <c r="G43" s="1451"/>
      <c r="H43" s="1451"/>
      <c r="I43" s="1451"/>
      <c r="J43" s="1451"/>
      <c r="K43" s="1451"/>
      <c r="L43" s="1451"/>
      <c r="M43" s="1456"/>
      <c r="N43" s="237" t="s">
        <v>211</v>
      </c>
    </row>
    <row r="44" spans="1:14" ht="11.25" customHeight="1">
      <c r="A44" s="124"/>
      <c r="B44" s="124"/>
    </row>
    <row r="45" spans="1:14" ht="11.25" customHeight="1">
      <c r="A45" s="124"/>
      <c r="G45" s="1454" t="str">
        <f>IF(ROUND(L42,0)&lt;ROUND(GBLBudgFY,0),CONCATENATE("The district has budgeted less in the M and O Fund than the General Budget Limit as calculated on page 7 of 8 by ",TEXT(GBLBudgFY-L42,"$#,###"),"."),IF(ROUND(L42,0)&gt;ROUND(GBLBudgFY,0),CONCATENATE("The district has budgeted greater in the M and O Fund than the General Budget Limit as calculated on page 7 of 8 by ",TEXT(-GBLBudgFY+L42,"$#,###"),"."),IF(ROUND(L42,0)=ROUND(GBLBudgFY,0),CONCATENATE("The district has budgeted an amount in the M and O Fund equal to the General Budget Limit as calculated on page 7 of 8."))))</f>
        <v>The district has budgeted an amount in the M and O Fund equal to the General Budget Limit as calculated on page 7 of 8.</v>
      </c>
      <c r="H45" s="1454"/>
      <c r="I45" s="1454"/>
      <c r="J45" s="1454"/>
      <c r="K45" s="1454"/>
      <c r="L45" s="1454"/>
      <c r="M45" s="1454"/>
    </row>
    <row r="46" spans="1:14" ht="12.75" customHeight="1">
      <c r="A46" s="124" t="s">
        <v>212</v>
      </c>
      <c r="B46" s="179"/>
      <c r="C46" s="179"/>
      <c r="D46" s="179"/>
      <c r="E46" s="179"/>
      <c r="F46" s="179"/>
      <c r="G46" s="179"/>
      <c r="I46" s="271"/>
      <c r="J46" s="179"/>
      <c r="K46" s="179"/>
      <c r="L46" s="179"/>
      <c r="M46" s="271"/>
      <c r="N46" s="272"/>
    </row>
    <row r="47" spans="1:14" s="124" customFormat="1" ht="12.75" customHeight="1">
      <c r="A47" s="273"/>
      <c r="B47" s="274"/>
      <c r="C47" s="274"/>
      <c r="D47" s="274"/>
      <c r="E47" s="275"/>
      <c r="F47" s="275"/>
      <c r="G47" s="275"/>
      <c r="H47" s="275"/>
      <c r="I47" s="275"/>
      <c r="J47" s="275"/>
      <c r="K47" s="275"/>
      <c r="L47" s="275"/>
      <c r="M47" s="275"/>
      <c r="N47" s="132"/>
    </row>
    <row r="48" spans="1:14" s="124" customFormat="1" ht="11.25" customHeight="1">
      <c r="A48" s="273"/>
      <c r="B48" s="274"/>
      <c r="C48" s="276"/>
      <c r="D48" s="274"/>
      <c r="E48" s="277"/>
      <c r="F48" s="278"/>
      <c r="G48" s="278"/>
      <c r="H48" s="278"/>
      <c r="I48" s="278"/>
      <c r="J48" s="278"/>
      <c r="K48" s="274"/>
      <c r="L48" s="278"/>
      <c r="M48" s="279"/>
      <c r="N48" s="132"/>
    </row>
    <row r="49" spans="1:13" ht="11.25" customHeight="1">
      <c r="A49" s="280"/>
      <c r="B49" s="124"/>
      <c r="C49" s="131"/>
      <c r="D49" s="124"/>
      <c r="E49" s="281"/>
      <c r="F49" s="282"/>
      <c r="G49" s="282"/>
      <c r="H49" s="282"/>
      <c r="I49" s="282"/>
      <c r="J49" s="282"/>
      <c r="K49" s="124"/>
      <c r="L49" s="278"/>
      <c r="M49" s="283"/>
    </row>
  </sheetData>
  <sheetProtection sheet="1" formatCells="0" formatColumns="0" formatRows="0"/>
  <mergeCells count="49">
    <mergeCell ref="M23:M24"/>
    <mergeCell ref="I36:I37"/>
    <mergeCell ref="M1:N1"/>
    <mergeCell ref="M9:M10"/>
    <mergeCell ref="M7:M8"/>
    <mergeCell ref="L7:L8"/>
    <mergeCell ref="L23:L24"/>
    <mergeCell ref="L25:L26"/>
    <mergeCell ref="M25:M26"/>
    <mergeCell ref="L9:L10"/>
    <mergeCell ref="K7:K8"/>
    <mergeCell ref="K9:K10"/>
    <mergeCell ref="K23:K24"/>
    <mergeCell ref="K25:K26"/>
    <mergeCell ref="J36:J37"/>
    <mergeCell ref="M36:M37"/>
    <mergeCell ref="B1:E1"/>
    <mergeCell ref="D23:D24"/>
    <mergeCell ref="D7:D8"/>
    <mergeCell ref="D9:D10"/>
    <mergeCell ref="D25:D26"/>
    <mergeCell ref="D36:D37"/>
    <mergeCell ref="J42:J43"/>
    <mergeCell ref="K36:K37"/>
    <mergeCell ref="L36:L37"/>
    <mergeCell ref="D39:D40"/>
    <mergeCell ref="F36:F37"/>
    <mergeCell ref="G36:G37"/>
    <mergeCell ref="H36:H37"/>
    <mergeCell ref="I42:I43"/>
    <mergeCell ref="D42:D43"/>
    <mergeCell ref="E42:E43"/>
    <mergeCell ref="J39:J40"/>
    <mergeCell ref="K39:K40"/>
    <mergeCell ref="H39:H40"/>
    <mergeCell ref="E39:E40"/>
    <mergeCell ref="F39:F40"/>
    <mergeCell ref="I39:I40"/>
    <mergeCell ref="E36:E37"/>
    <mergeCell ref="G45:M45"/>
    <mergeCell ref="M39:M40"/>
    <mergeCell ref="L42:L43"/>
    <mergeCell ref="L39:L40"/>
    <mergeCell ref="K42:K43"/>
    <mergeCell ref="F42:F43"/>
    <mergeCell ref="G42:G43"/>
    <mergeCell ref="G39:G40"/>
    <mergeCell ref="M42:M43"/>
    <mergeCell ref="H42:H43"/>
  </mergeCells>
  <hyperlinks>
    <hyperlink ref="C12" location="Page1l4" display="4."/>
    <hyperlink ref="C17" location="Page1l9" display="9."/>
    <hyperlink ref="C38" location="Page1l27" display="27."/>
    <hyperlink ref="C40" location="Page1l28" display="28."/>
    <hyperlink ref="C41" location="Page1l29" display="29."/>
  </hyperlinks>
  <printOptions horizontalCentered="1"/>
  <pageMargins left="0.25" right="0.25" top="0.25" bottom="0.25" header="0" footer="0.25"/>
  <pageSetup paperSize="5" orientation="landscape" r:id="rId1"/>
  <headerFooter alignWithMargins="0">
    <oddFooter>&amp;L&amp;"Times New Roman,Bold"&amp;9Rev. 5/23 Arizona Department of Education and Auditor General&amp;C&amp;"Times New Roman,Regular"&amp;9&amp;D  &amp;T&amp;R&amp;"Times New Roman,Bold"&amp;9Page 1 of 8</oddFooter>
  </headerFooter>
  <rowBreaks count="1" manualBreakCount="1">
    <brk id="47" max="65535" man="1"/>
  </rowBreaks>
  <drawing r:id="rId2"/>
</worksheet>
</file>

<file path=xl/worksheets/sheet4.xml><?xml version="1.0" encoding="utf-8"?>
<worksheet xmlns="http://schemas.openxmlformats.org/spreadsheetml/2006/main" xmlns:r="http://schemas.openxmlformats.org/officeDocument/2006/relationships">
  <sheetPr transitionEvaluation="1" transitionEntry="1">
    <pageSetUpPr fitToPage="1"/>
  </sheetPr>
  <dimension ref="A1:Z49"/>
  <sheetViews>
    <sheetView showGridLines="0" workbookViewId="0">
      <selection activeCell="O9" sqref="O9"/>
    </sheetView>
  </sheetViews>
  <sheetFormatPr defaultColWidth="9.90625" defaultRowHeight="15.6"/>
  <cols>
    <col min="1" max="1" width="3.90625" style="127" customWidth="1"/>
    <col min="2" max="2" width="11.90625" style="127" customWidth="1"/>
    <col min="3" max="3" width="5.90625" style="127" customWidth="1"/>
    <col min="4" max="4" width="7.90625" style="127" customWidth="1"/>
    <col min="5" max="8" width="8.90625" style="127" customWidth="1"/>
    <col min="9" max="9" width="3" style="127" customWidth="1"/>
    <col min="10" max="10" width="9.90625" style="127" customWidth="1"/>
    <col min="11" max="11" width="2.90625" style="127" customWidth="1"/>
    <col min="12" max="12" width="8.90625" style="127" customWidth="1"/>
    <col min="13" max="13" width="10" style="127" customWidth="1"/>
    <col min="14" max="14" width="5" style="127" customWidth="1"/>
    <col min="15" max="15" width="11" style="127" customWidth="1"/>
    <col min="16" max="16" width="4.453125" style="127" customWidth="1"/>
    <col min="17" max="17" width="3.453125" style="127" customWidth="1"/>
    <col min="18" max="19" width="10" style="127" customWidth="1"/>
    <col min="20" max="20" width="3" style="127" customWidth="1"/>
    <col min="21" max="22" width="9.90625" style="127" customWidth="1"/>
    <col min="23" max="16384" width="9.90625" style="127"/>
  </cols>
  <sheetData>
    <row r="1" spans="1:26" ht="15" customHeight="1">
      <c r="A1" s="1489" t="s">
        <v>71</v>
      </c>
      <c r="B1" s="1490"/>
      <c r="C1" s="1459" t="str">
        <f>DistrictName</f>
        <v>Valley Union High School District</v>
      </c>
      <c r="D1" s="1460"/>
      <c r="E1" s="1460"/>
      <c r="F1" s="1460"/>
      <c r="H1" s="125" t="s">
        <v>72</v>
      </c>
      <c r="I1" s="1487" t="str">
        <f>Cover!H1</f>
        <v>Cochise</v>
      </c>
      <c r="J1" s="1488"/>
      <c r="K1" s="174"/>
      <c r="N1" s="125" t="s">
        <v>73</v>
      </c>
      <c r="O1" s="190" t="str">
        <f>CTD</f>
        <v>020522000</v>
      </c>
      <c r="Q1" s="125" t="s">
        <v>74</v>
      </c>
      <c r="R1" s="212" t="str">
        <f>Cover!C8</f>
        <v>Proposed</v>
      </c>
      <c r="T1" s="216"/>
    </row>
    <row r="2" spans="1:26" ht="12" customHeight="1">
      <c r="A2" s="217"/>
      <c r="H2" s="284"/>
      <c r="I2" s="285"/>
      <c r="J2" s="285"/>
      <c r="K2" s="285"/>
      <c r="R2" s="284"/>
    </row>
    <row r="3" spans="1:26" ht="11.25" customHeight="1">
      <c r="M3" s="286"/>
      <c r="N3" s="286"/>
      <c r="O3" s="287"/>
      <c r="T3" s="179"/>
    </row>
    <row r="4" spans="1:26" ht="12" customHeight="1">
      <c r="A4" s="288" t="s">
        <v>213</v>
      </c>
      <c r="B4" s="288"/>
      <c r="C4" s="288"/>
      <c r="D4" s="288"/>
      <c r="E4" s="288"/>
      <c r="F4" s="288"/>
      <c r="G4" s="288"/>
      <c r="I4" s="285" t="s">
        <v>53</v>
      </c>
      <c r="J4" s="285" t="s">
        <v>53</v>
      </c>
      <c r="K4" s="285"/>
      <c r="L4" s="286"/>
      <c r="M4" s="286"/>
      <c r="N4" s="287"/>
      <c r="O4" s="287"/>
      <c r="P4" s="287"/>
      <c r="Q4" s="179"/>
    </row>
    <row r="5" spans="1:26" ht="12" customHeight="1">
      <c r="B5" s="179"/>
      <c r="C5" s="179"/>
      <c r="D5" s="179"/>
      <c r="E5" s="287"/>
      <c r="F5" s="287"/>
      <c r="G5" s="287"/>
      <c r="H5" s="287"/>
      <c r="J5" s="179"/>
      <c r="K5" s="179"/>
      <c r="L5" s="179"/>
      <c r="M5" s="179"/>
      <c r="N5" s="179"/>
      <c r="O5" s="287"/>
      <c r="P5" s="287"/>
      <c r="Q5" s="287"/>
      <c r="R5" s="179"/>
    </row>
    <row r="6" spans="1:26" ht="15" customHeight="1" thickBot="1">
      <c r="A6" s="179" t="s">
        <v>214</v>
      </c>
      <c r="B6" s="179"/>
      <c r="C6" s="179"/>
      <c r="D6" s="179"/>
      <c r="E6" s="287"/>
      <c r="F6" s="287" t="s">
        <v>215</v>
      </c>
      <c r="G6" s="287" t="s">
        <v>216</v>
      </c>
      <c r="L6" s="179"/>
      <c r="M6" s="179"/>
      <c r="N6" s="191"/>
      <c r="O6" s="289"/>
      <c r="P6" s="289"/>
      <c r="Q6" s="289"/>
      <c r="R6" s="290"/>
    </row>
    <row r="7" spans="1:26" ht="12.75" customHeight="1">
      <c r="A7" s="291" t="s">
        <v>6</v>
      </c>
      <c r="B7" s="179" t="s">
        <v>217</v>
      </c>
      <c r="C7" s="292"/>
      <c r="D7" s="292"/>
      <c r="E7" s="293"/>
      <c r="F7" s="294">
        <f>[1]!F001P200Subtotal</f>
        <v>160000</v>
      </c>
      <c r="G7" s="55">
        <v>160000</v>
      </c>
      <c r="H7" s="295" t="s">
        <v>6</v>
      </c>
      <c r="J7" s="296"/>
      <c r="K7" s="297" t="s">
        <v>218</v>
      </c>
      <c r="L7" s="298"/>
      <c r="M7" s="298"/>
      <c r="N7" s="298"/>
      <c r="O7" s="299"/>
      <c r="Y7" s="300"/>
      <c r="Z7" s="300"/>
    </row>
    <row r="8" spans="1:26" ht="12.75" customHeight="1">
      <c r="A8" s="301" t="s">
        <v>9</v>
      </c>
      <c r="B8" s="179" t="s">
        <v>219</v>
      </c>
      <c r="C8" s="179"/>
      <c r="D8" s="179"/>
      <c r="E8" s="302"/>
      <c r="F8" s="303">
        <f>[1]!SPEDGiftedEdBudgFY</f>
        <v>0</v>
      </c>
      <c r="G8" s="56"/>
      <c r="H8" s="295" t="s">
        <v>9</v>
      </c>
      <c r="J8" s="296"/>
      <c r="K8" s="179" t="s">
        <v>220</v>
      </c>
      <c r="N8" s="304">
        <v>6350</v>
      </c>
      <c r="O8" s="59">
        <v>18000</v>
      </c>
      <c r="Y8" s="300"/>
      <c r="Z8" s="300"/>
    </row>
    <row r="9" spans="1:26" ht="12.75" customHeight="1">
      <c r="A9" s="301" t="s">
        <v>24</v>
      </c>
      <c r="B9" s="179" t="s">
        <v>221</v>
      </c>
      <c r="C9" s="179"/>
      <c r="D9" s="179"/>
      <c r="E9" s="302"/>
      <c r="F9" s="303">
        <f>[1]!SPEDRemedialEdBudgFY</f>
        <v>0</v>
      </c>
      <c r="G9" s="56"/>
      <c r="H9" s="295" t="s">
        <v>24</v>
      </c>
      <c r="J9" s="296"/>
      <c r="K9" s="179" t="s">
        <v>222</v>
      </c>
      <c r="N9" s="305">
        <v>6330</v>
      </c>
      <c r="O9" s="43"/>
      <c r="Y9" s="300"/>
      <c r="Z9" s="300"/>
    </row>
    <row r="10" spans="1:26" ht="12.75" customHeight="1">
      <c r="A10" s="306" t="s">
        <v>51</v>
      </c>
      <c r="B10" s="179" t="s">
        <v>223</v>
      </c>
      <c r="C10" s="179"/>
      <c r="D10" s="179"/>
      <c r="E10" s="302"/>
      <c r="F10" s="303">
        <f>[1]!SPEDELLIncCostBudgFY</f>
        <v>0</v>
      </c>
      <c r="G10" s="56"/>
      <c r="H10" s="295" t="s">
        <v>51</v>
      </c>
      <c r="J10" s="296"/>
      <c r="K10" s="179"/>
      <c r="Y10" s="300"/>
      <c r="Z10" s="300"/>
    </row>
    <row r="11" spans="1:26" ht="12.75" customHeight="1">
      <c r="A11" s="291" t="s">
        <v>166</v>
      </c>
      <c r="B11" s="179" t="s">
        <v>224</v>
      </c>
      <c r="C11" s="179"/>
      <c r="D11" s="179"/>
      <c r="E11" s="302"/>
      <c r="F11" s="303">
        <f>[1]!SPEDELLCompInstrBudgFY</f>
        <v>0</v>
      </c>
      <c r="G11" s="56"/>
      <c r="H11" s="307" t="s">
        <v>166</v>
      </c>
      <c r="J11" s="296"/>
      <c r="L11" s="179"/>
      <c r="M11" s="308"/>
      <c r="N11" s="289"/>
      <c r="O11" s="179"/>
      <c r="P11" s="179"/>
      <c r="Q11" s="179"/>
      <c r="R11" s="179"/>
      <c r="Y11" s="300"/>
      <c r="Z11" s="300"/>
    </row>
    <row r="12" spans="1:26" ht="12.75" customHeight="1">
      <c r="A12" s="309" t="s">
        <v>168</v>
      </c>
      <c r="B12" s="179" t="s">
        <v>225</v>
      </c>
      <c r="E12" s="302"/>
      <c r="F12" s="303">
        <f>[1]!SPEDVocTechEdBudgFY</f>
        <v>0</v>
      </c>
      <c r="G12" s="56"/>
      <c r="H12" s="295" t="s">
        <v>168</v>
      </c>
      <c r="J12" s="296"/>
      <c r="K12" s="286" t="s">
        <v>226</v>
      </c>
      <c r="N12" s="179"/>
      <c r="O12" s="308"/>
      <c r="P12" s="289"/>
      <c r="Q12" s="179"/>
      <c r="R12" s="179"/>
      <c r="Y12" s="300"/>
      <c r="Z12" s="300"/>
    </row>
    <row r="13" spans="1:26" ht="12.75" customHeight="1">
      <c r="A13" s="309" t="s">
        <v>170</v>
      </c>
      <c r="B13" s="179" t="s">
        <v>227</v>
      </c>
      <c r="C13" s="179"/>
      <c r="D13" s="179"/>
      <c r="E13" s="302"/>
      <c r="F13" s="310">
        <f>[1]!SPEDCareerEdBudgFY</f>
        <v>0</v>
      </c>
      <c r="G13" s="57"/>
      <c r="H13" s="311" t="s">
        <v>170</v>
      </c>
      <c r="J13" s="296"/>
      <c r="K13" s="179" t="s">
        <v>228</v>
      </c>
      <c r="Q13" s="308"/>
      <c r="R13" s="28"/>
      <c r="Y13" s="300"/>
      <c r="Z13" s="300"/>
    </row>
    <row r="14" spans="1:26" ht="12.75" customHeight="1" thickBot="1">
      <c r="A14" s="309" t="s">
        <v>172</v>
      </c>
      <c r="B14" s="312" t="s">
        <v>229</v>
      </c>
      <c r="C14" s="312"/>
      <c r="D14" s="312"/>
      <c r="E14" s="313"/>
      <c r="F14" s="310">
        <f>[1]!JTEDBudgFY</f>
        <v>127000</v>
      </c>
      <c r="G14" s="60">
        <v>127000</v>
      </c>
      <c r="H14" s="311" t="s">
        <v>172</v>
      </c>
      <c r="I14" s="1482" t="str">
        <f>IF(SUM(G7:G14)=SUM('Page 1'!L34:L34),"","Invalid. The amount should equal the total budgeted amount reported on line 24, page 1.")</f>
        <v/>
      </c>
      <c r="J14" s="1482"/>
      <c r="K14" s="179"/>
      <c r="Q14" s="308"/>
      <c r="R14" s="314"/>
      <c r="Y14" s="300"/>
      <c r="Z14" s="300"/>
    </row>
    <row r="15" spans="1:26" ht="12.75" customHeight="1">
      <c r="A15" s="315" t="s">
        <v>174</v>
      </c>
      <c r="B15" s="179" t="s">
        <v>230</v>
      </c>
      <c r="C15" s="179"/>
      <c r="D15" s="179"/>
      <c r="E15" s="1485"/>
      <c r="F15" s="1476">
        <f>SUM(F7:F14)</f>
        <v>287000</v>
      </c>
      <c r="G15" s="1476">
        <f>SUM(G7:G14)</f>
        <v>287000</v>
      </c>
      <c r="H15" s="295"/>
      <c r="I15" s="1482"/>
      <c r="J15" s="1482"/>
      <c r="K15" s="316" t="s">
        <v>231</v>
      </c>
      <c r="Q15" s="317"/>
      <c r="R15" s="179"/>
      <c r="Y15" s="300"/>
      <c r="Z15" s="300"/>
    </row>
    <row r="16" spans="1:26" ht="12.75" customHeight="1" thickBot="1">
      <c r="A16" s="318"/>
      <c r="B16" s="179" t="s">
        <v>232</v>
      </c>
      <c r="C16" s="179"/>
      <c r="D16" s="179"/>
      <c r="E16" s="1486"/>
      <c r="F16" s="1483"/>
      <c r="G16" s="1477"/>
      <c r="H16" s="320" t="s">
        <v>174</v>
      </c>
      <c r="I16" s="1482"/>
      <c r="J16" s="1482"/>
      <c r="Y16" s="300"/>
      <c r="Z16" s="300"/>
    </row>
    <row r="17" spans="1:26" ht="12.75" customHeight="1" thickTop="1">
      <c r="A17" s="318"/>
      <c r="B17" s="179"/>
      <c r="C17" s="179"/>
      <c r="D17" s="179"/>
      <c r="E17" s="179"/>
      <c r="F17" s="179"/>
      <c r="G17" s="179"/>
      <c r="H17" s="272"/>
      <c r="I17" s="1482"/>
      <c r="J17" s="1482"/>
      <c r="L17" s="179"/>
      <c r="N17" s="308"/>
      <c r="O17" s="131"/>
      <c r="P17" s="289"/>
      <c r="Q17" s="179"/>
      <c r="Y17" s="300"/>
      <c r="Z17" s="300"/>
    </row>
    <row r="18" spans="1:26" ht="12.75" customHeight="1">
      <c r="A18" s="315" t="s">
        <v>176</v>
      </c>
      <c r="B18" s="321" t="s">
        <v>233</v>
      </c>
      <c r="C18" s="321"/>
      <c r="D18" s="321"/>
      <c r="E18" s="321"/>
      <c r="F18" s="321"/>
      <c r="G18" s="321"/>
      <c r="H18" s="322"/>
      <c r="I18" s="1482"/>
      <c r="J18" s="1482"/>
      <c r="K18" s="297" t="s">
        <v>234</v>
      </c>
      <c r="L18" s="297"/>
      <c r="M18" s="298"/>
      <c r="N18" s="298"/>
      <c r="O18" s="298"/>
      <c r="P18" s="323"/>
      <c r="Q18" s="323"/>
      <c r="R18" s="323"/>
      <c r="Y18" s="300"/>
      <c r="Z18" s="300"/>
    </row>
    <row r="19" spans="1:26" ht="12.75" customHeight="1">
      <c r="A19" s="322"/>
      <c r="B19" s="321" t="s">
        <v>235</v>
      </c>
      <c r="C19" s="321"/>
      <c r="D19" s="321"/>
      <c r="E19" s="322"/>
      <c r="F19" s="324">
        <f t="array" ref="F19">[1]!IEPTransportCosts</f>
        <v>0</v>
      </c>
      <c r="G19" s="96"/>
      <c r="H19" s="325" t="s">
        <v>176</v>
      </c>
      <c r="J19" s="296"/>
      <c r="K19" s="326" t="s">
        <v>236</v>
      </c>
      <c r="L19" s="175"/>
      <c r="M19" s="175"/>
      <c r="N19" s="175"/>
      <c r="O19" s="175"/>
      <c r="P19" s="175"/>
      <c r="Q19" s="327"/>
      <c r="R19" s="29">
        <v>30000</v>
      </c>
      <c r="Y19" s="300"/>
      <c r="Z19" s="300"/>
    </row>
    <row r="20" spans="1:26" ht="12.75" customHeight="1">
      <c r="E20" s="328"/>
      <c r="K20" s="175" t="s">
        <v>237</v>
      </c>
      <c r="L20" s="175"/>
      <c r="M20" s="175"/>
      <c r="N20" s="175"/>
      <c r="O20" s="175"/>
      <c r="P20" s="175"/>
      <c r="Q20" s="323"/>
      <c r="R20" s="323"/>
      <c r="Y20" s="300"/>
      <c r="Z20" s="300"/>
    </row>
    <row r="21" spans="1:26" ht="12.75" customHeight="1">
      <c r="K21" s="175" t="s">
        <v>238</v>
      </c>
      <c r="L21" s="175"/>
      <c r="M21" s="175"/>
      <c r="N21" s="175"/>
      <c r="O21" s="175"/>
      <c r="P21" s="175"/>
      <c r="Q21" s="323"/>
      <c r="R21" s="323"/>
      <c r="Y21" s="300"/>
      <c r="Z21" s="300"/>
    </row>
    <row r="22" spans="1:26" ht="12" customHeight="1">
      <c r="A22" s="329" t="s">
        <v>239</v>
      </c>
      <c r="C22" s="271"/>
      <c r="D22" s="271"/>
      <c r="E22" s="271"/>
      <c r="F22" s="330"/>
      <c r="G22" s="179"/>
      <c r="H22" s="179"/>
      <c r="I22" s="154"/>
      <c r="O22" s="179"/>
      <c r="P22" s="179"/>
      <c r="Q22" s="179"/>
      <c r="Y22" s="300"/>
      <c r="Z22" s="300"/>
    </row>
    <row r="23" spans="1:26" ht="12.75" customHeight="1">
      <c r="A23" s="331" t="s">
        <v>240</v>
      </c>
      <c r="C23" s="271"/>
      <c r="D23" s="271"/>
      <c r="F23" s="308" t="s">
        <v>241</v>
      </c>
      <c r="G23" s="332">
        <f>SPEDTeacher</f>
        <v>17</v>
      </c>
      <c r="H23" s="179"/>
      <c r="K23" s="286"/>
      <c r="O23" s="179"/>
      <c r="P23" s="333"/>
      <c r="Q23" s="317"/>
      <c r="R23" s="179"/>
      <c r="S23" s="179"/>
      <c r="Y23" s="300"/>
      <c r="Z23" s="300"/>
    </row>
    <row r="24" spans="1:26" ht="12.75" customHeight="1">
      <c r="F24" s="308" t="s">
        <v>242</v>
      </c>
      <c r="G24" s="334">
        <f>SPEDStaff</f>
        <v>17</v>
      </c>
      <c r="H24" s="179"/>
      <c r="K24" s="1481"/>
      <c r="L24" s="1481"/>
      <c r="M24" s="1481"/>
      <c r="N24" s="1481"/>
      <c r="O24" s="1481"/>
      <c r="P24" s="1481"/>
      <c r="Q24" s="335"/>
      <c r="R24" s="336"/>
      <c r="Y24" s="300"/>
      <c r="Z24" s="300"/>
    </row>
    <row r="25" spans="1:26" ht="12.75" customHeight="1">
      <c r="F25" s="179"/>
      <c r="G25" s="179"/>
      <c r="H25" s="179"/>
      <c r="K25" s="1473"/>
      <c r="L25" s="1473"/>
      <c r="M25" s="1473"/>
      <c r="N25" s="1473"/>
      <c r="O25" s="1473"/>
      <c r="P25" s="337"/>
      <c r="Q25" s="338"/>
      <c r="R25" s="338"/>
      <c r="Y25" s="300"/>
      <c r="Z25" s="300"/>
    </row>
    <row r="26" spans="1:26" ht="13.5" customHeight="1">
      <c r="A26" s="1484" t="s">
        <v>243</v>
      </c>
      <c r="B26" s="1484"/>
      <c r="C26" s="1484"/>
      <c r="D26" s="1484"/>
      <c r="G26" s="179"/>
      <c r="H26" s="179"/>
      <c r="J26" s="339"/>
      <c r="K26" s="340"/>
      <c r="L26" s="312"/>
      <c r="M26" s="312"/>
      <c r="N26" s="312"/>
      <c r="O26" s="312"/>
      <c r="P26" s="338"/>
      <c r="Q26" s="338"/>
      <c r="R26" s="341"/>
      <c r="Y26" s="300"/>
      <c r="Z26" s="300"/>
    </row>
    <row r="27" spans="1:26" ht="12.75" customHeight="1">
      <c r="A27" s="331" t="s">
        <v>244</v>
      </c>
      <c r="C27" s="285"/>
      <c r="F27" s="342" t="s">
        <v>215</v>
      </c>
      <c r="G27" s="342" t="s">
        <v>216</v>
      </c>
      <c r="K27" s="340"/>
      <c r="L27" s="312"/>
      <c r="M27" s="312"/>
      <c r="N27" s="312"/>
      <c r="O27" s="312"/>
      <c r="P27" s="338"/>
      <c r="Q27" s="338"/>
      <c r="R27" s="341"/>
      <c r="S27" s="272"/>
      <c r="Y27" s="300"/>
      <c r="Z27" s="300"/>
    </row>
    <row r="28" spans="1:26" ht="13.5" customHeight="1">
      <c r="C28" s="285"/>
      <c r="E28" s="308" t="s">
        <v>245</v>
      </c>
      <c r="F28" s="343">
        <f>[1]!EstimatedFTECertified</f>
        <v>14</v>
      </c>
      <c r="G28" s="58">
        <v>14</v>
      </c>
      <c r="K28" s="340"/>
      <c r="L28" s="344"/>
      <c r="M28" s="345"/>
      <c r="N28" s="345"/>
      <c r="O28" s="346"/>
      <c r="P28" s="338"/>
      <c r="Q28" s="338"/>
      <c r="R28" s="347"/>
      <c r="S28" s="272"/>
      <c r="Y28" s="300"/>
      <c r="Z28" s="300"/>
    </row>
    <row r="29" spans="1:26" ht="15" customHeight="1">
      <c r="B29" s="338"/>
      <c r="C29" s="338"/>
      <c r="D29" s="338"/>
      <c r="E29" s="348" t="s">
        <v>246</v>
      </c>
      <c r="F29" s="349"/>
      <c r="G29" s="82"/>
      <c r="K29" s="340"/>
      <c r="L29" s="344"/>
      <c r="M29" s="345"/>
      <c r="N29" s="345"/>
      <c r="O29" s="346"/>
      <c r="P29" s="338"/>
      <c r="Q29" s="338"/>
      <c r="R29" s="347"/>
      <c r="S29" s="272"/>
      <c r="Y29" s="1474"/>
      <c r="Z29" s="1474"/>
    </row>
    <row r="30" spans="1:26" ht="13.5" customHeight="1">
      <c r="B30" s="179"/>
      <c r="D30" s="179"/>
      <c r="E30" s="308"/>
      <c r="F30" s="179"/>
      <c r="K30" s="340"/>
      <c r="L30" s="344"/>
      <c r="M30" s="312"/>
      <c r="N30" s="312"/>
      <c r="O30" s="348"/>
      <c r="P30" s="338"/>
      <c r="Q30" s="338"/>
      <c r="R30" s="347"/>
      <c r="S30" s="272"/>
      <c r="Y30" s="1475"/>
      <c r="Z30" s="1475"/>
    </row>
    <row r="31" spans="1:26" ht="12.75" customHeight="1">
      <c r="A31" s="286"/>
      <c r="C31" s="271"/>
      <c r="D31" s="271"/>
      <c r="F31" s="350"/>
      <c r="I31" s="179"/>
      <c r="K31" s="351"/>
      <c r="L31" s="312"/>
      <c r="M31" s="312"/>
      <c r="N31" s="312"/>
      <c r="O31" s="348"/>
      <c r="P31" s="338"/>
      <c r="Q31" s="338"/>
      <c r="R31" s="347"/>
      <c r="S31" s="272"/>
    </row>
    <row r="32" spans="1:26" ht="12.75" customHeight="1">
      <c r="A32" s="272"/>
      <c r="B32" s="352"/>
      <c r="C32" s="352"/>
      <c r="D32" s="352"/>
      <c r="E32" s="352"/>
      <c r="F32" s="353"/>
      <c r="G32" s="354"/>
      <c r="I32" s="286"/>
      <c r="K32" s="340"/>
      <c r="L32" s="312"/>
      <c r="M32" s="312"/>
      <c r="N32" s="312"/>
      <c r="O32" s="348"/>
      <c r="P32" s="338"/>
      <c r="Q32" s="338"/>
      <c r="R32" s="347"/>
      <c r="S32" s="272"/>
    </row>
    <row r="33" spans="1:19" ht="13.5" customHeight="1">
      <c r="A33" s="1478"/>
      <c r="B33" s="1479"/>
      <c r="C33" s="1479"/>
      <c r="D33" s="1479"/>
      <c r="E33" s="1479"/>
      <c r="F33" s="1479"/>
      <c r="G33" s="1480"/>
      <c r="I33" s="179"/>
      <c r="K33" s="340"/>
      <c r="L33" s="312"/>
      <c r="M33" s="312"/>
      <c r="N33" s="312"/>
      <c r="O33" s="348"/>
      <c r="P33" s="338"/>
      <c r="Q33" s="338"/>
      <c r="R33" s="347"/>
      <c r="S33" s="272"/>
    </row>
    <row r="34" spans="1:19" ht="12.75" customHeight="1">
      <c r="E34" s="356"/>
      <c r="I34" s="179"/>
      <c r="K34" s="351"/>
      <c r="L34" s="344"/>
      <c r="M34" s="312"/>
      <c r="N34" s="312"/>
      <c r="O34" s="348"/>
      <c r="P34" s="338"/>
      <c r="Q34" s="338"/>
      <c r="R34" s="347"/>
      <c r="S34" s="272"/>
    </row>
    <row r="35" spans="1:19" ht="12.75" customHeight="1">
      <c r="I35" s="179"/>
      <c r="K35" s="338"/>
      <c r="L35" s="312"/>
      <c r="M35" s="312"/>
      <c r="N35" s="312"/>
      <c r="O35" s="312"/>
      <c r="P35" s="312"/>
      <c r="Q35" s="338"/>
      <c r="R35" s="312"/>
      <c r="S35" s="272"/>
    </row>
    <row r="36" spans="1:19" ht="12.75" customHeight="1">
      <c r="I36" s="179"/>
      <c r="L36" s="179"/>
      <c r="M36" s="179"/>
      <c r="N36" s="179"/>
      <c r="O36" s="179"/>
      <c r="P36" s="179"/>
      <c r="R36" s="179"/>
      <c r="S36" s="272"/>
    </row>
    <row r="37" spans="1:19" ht="12.75" customHeight="1">
      <c r="L37" s="307"/>
      <c r="M37" s="179"/>
      <c r="N37" s="179"/>
      <c r="O37" s="179"/>
      <c r="P37" s="179"/>
      <c r="R37" s="357"/>
    </row>
    <row r="38" spans="1:19" ht="12.75" customHeight="1">
      <c r="L38" s="307"/>
      <c r="M38" s="179"/>
      <c r="N38" s="179"/>
      <c r="O38" s="179"/>
      <c r="P38" s="179"/>
      <c r="R38" s="357"/>
    </row>
    <row r="39" spans="1:19" ht="12.75" customHeight="1">
      <c r="K39" s="179"/>
      <c r="L39" s="179"/>
      <c r="M39" s="179"/>
      <c r="N39" s="179"/>
      <c r="O39" s="179"/>
      <c r="P39" s="179"/>
    </row>
    <row r="40" spans="1:19" ht="12.75" customHeight="1">
      <c r="K40" s="179"/>
      <c r="L40" s="179"/>
      <c r="M40" s="179"/>
      <c r="N40" s="179"/>
      <c r="O40" s="179"/>
      <c r="P40" s="179"/>
    </row>
    <row r="41" spans="1:19" ht="13.5" customHeight="1">
      <c r="K41" s="179"/>
    </row>
    <row r="42" spans="1:19" ht="12.75" customHeight="1">
      <c r="I42" s="179"/>
      <c r="J42" s="358"/>
      <c r="S42" s="179"/>
    </row>
    <row r="43" spans="1:19" ht="13.5" hidden="1" customHeight="1"/>
    <row r="44" spans="1:19" ht="13.5" customHeight="1"/>
    <row r="45" spans="1:19" ht="13.5" customHeight="1">
      <c r="I45" s="179"/>
    </row>
    <row r="46" spans="1:19" ht="13.5" customHeight="1">
      <c r="I46" s="286"/>
    </row>
    <row r="47" spans="1:19" ht="6" customHeight="1">
      <c r="I47" s="179"/>
      <c r="J47" s="179"/>
    </row>
    <row r="48" spans="1:19" ht="12" customHeight="1">
      <c r="J48" s="179"/>
    </row>
    <row r="49" spans="19:20" ht="12.75" customHeight="1">
      <c r="S49" s="179"/>
      <c r="T49" s="308"/>
    </row>
  </sheetData>
  <sheetProtection sheet="1" formatCells="0" formatColumns="0" formatRows="0"/>
  <mergeCells count="13">
    <mergeCell ref="C1:F1"/>
    <mergeCell ref="F15:F16"/>
    <mergeCell ref="A26:D26"/>
    <mergeCell ref="E15:E16"/>
    <mergeCell ref="I1:J1"/>
    <mergeCell ref="A1:B1"/>
    <mergeCell ref="K25:O25"/>
    <mergeCell ref="Y29:Y30"/>
    <mergeCell ref="Z29:Z30"/>
    <mergeCell ref="G15:G16"/>
    <mergeCell ref="A33:G33"/>
    <mergeCell ref="K24:P24"/>
    <mergeCell ref="I14:J18"/>
  </mergeCells>
  <dataValidations disablePrompts="1" count="1">
    <dataValidation type="whole" operator="lessThanOrEqual" allowBlank="1" showInputMessage="1" showErrorMessage="1" error="The employer share of retirement system expense for the teacher salary increases may not exceed the ASRS contribution rate of 11.5%." sqref="R32">
      <formula1>R31*0.115</formula1>
    </dataValidation>
  </dataValidations>
  <hyperlinks>
    <hyperlink ref="A10" location="Page2l45" display="4."/>
    <hyperlink ref="A11" location="Page2l45" display="5."/>
    <hyperlink ref="A26:D26" location="Page2n2" display="Estimated FTE Certified Employees"/>
    <hyperlink ref="A4:F4" location="Page2n1" display="SPECIAL EDUCATION PROGRAMS BY TYPE (M&amp;O Fund Program 200)"/>
    <hyperlink ref="A7" location="Page2n1" display="1."/>
    <hyperlink ref="K7:N7" location="AuditServices" display="Expenditures Budgeted for Audit Services"/>
    <hyperlink ref="K18:O18" location="MOFoodService" display="Expenditures Budgeted in the M&amp;O Fund for Food Service"/>
  </hyperlinks>
  <printOptions horizontalCentered="1"/>
  <pageMargins left="0.2" right="0.2" top="0.25" bottom="0.25" header="0" footer="0.25"/>
  <pageSetup paperSize="5" orientation="landscape" r:id="rId1"/>
  <headerFooter alignWithMargins="0">
    <oddFooter>&amp;L&amp;"Times New Roman,Bold"&amp;9Rev. 5/23 Arizona Department of Education and Auditor General&amp;C&amp;"Times New Roman,Regular"&amp;9&amp;D  &amp;T&amp;R&amp;"Times New Roman,Bold"&amp;9Page 2 of 8</oddFooter>
  </headerFooter>
  <drawing r:id="rId2"/>
</worksheet>
</file>

<file path=xl/worksheets/sheet5.xml><?xml version="1.0" encoding="utf-8"?>
<worksheet xmlns="http://schemas.openxmlformats.org/spreadsheetml/2006/main" xmlns:r="http://schemas.openxmlformats.org/officeDocument/2006/relationships">
  <dimension ref="A1:Y42"/>
  <sheetViews>
    <sheetView showGridLines="0" workbookViewId="0">
      <selection activeCell="E7" sqref="E7"/>
    </sheetView>
  </sheetViews>
  <sheetFormatPr defaultColWidth="8.90625" defaultRowHeight="15"/>
  <cols>
    <col min="1" max="1" width="24.453125" customWidth="1"/>
    <col min="2" max="2" width="6.90625" customWidth="1"/>
    <col min="3" max="3" width="3.54296875" customWidth="1"/>
    <col min="4" max="11" width="11.90625" customWidth="1"/>
    <col min="12" max="12" width="6.90625" customWidth="1"/>
    <col min="13" max="13" width="3.90625" customWidth="1"/>
    <col min="14" max="14" width="2" customWidth="1"/>
    <col min="15" max="15" width="14" customWidth="1"/>
    <col min="16" max="16" width="7.453125" customWidth="1"/>
    <col min="17" max="17" width="8.90625" customWidth="1"/>
    <col min="18" max="18" width="20.90625" customWidth="1"/>
    <col min="19" max="25" width="8.90625" customWidth="1"/>
  </cols>
  <sheetData>
    <row r="1" spans="1:25" ht="16.5" customHeight="1">
      <c r="A1" s="125" t="s">
        <v>71</v>
      </c>
      <c r="B1" s="1459" t="str">
        <f>DistrictName</f>
        <v>Valley Union High School District</v>
      </c>
      <c r="C1" s="1501"/>
      <c r="D1" s="1501"/>
      <c r="E1" s="1501"/>
      <c r="F1" s="125" t="s">
        <v>72</v>
      </c>
      <c r="G1" s="359" t="str">
        <f>Cover!H1</f>
        <v>Cochise</v>
      </c>
      <c r="J1" s="304" t="s">
        <v>73</v>
      </c>
      <c r="K1" s="128" t="str">
        <f>Cover!S1</f>
        <v>020522000</v>
      </c>
      <c r="M1" s="125" t="s">
        <v>74</v>
      </c>
      <c r="N1" s="360" t="str">
        <f>Cover!C8</f>
        <v>Proposed</v>
      </c>
      <c r="O1" s="361"/>
    </row>
    <row r="2" spans="1:25" ht="22.5" customHeight="1">
      <c r="A2" s="362" t="s">
        <v>247</v>
      </c>
      <c r="B2" s="363"/>
      <c r="C2" s="363"/>
      <c r="D2" s="1502" t="s">
        <v>248</v>
      </c>
      <c r="E2" s="1502"/>
      <c r="F2" s="1502"/>
      <c r="G2" s="1502"/>
      <c r="H2" s="1502"/>
      <c r="I2" s="1502"/>
      <c r="J2" s="1502"/>
      <c r="K2" s="1502"/>
      <c r="L2" s="1502"/>
      <c r="M2" s="124"/>
      <c r="N2" s="124"/>
    </row>
    <row r="3" spans="1:25" ht="11.25" customHeight="1">
      <c r="A3" s="364"/>
      <c r="B3" s="365"/>
      <c r="C3" s="366"/>
      <c r="D3" s="367"/>
      <c r="E3" s="368"/>
      <c r="F3" s="369"/>
      <c r="G3" s="370"/>
      <c r="H3" s="371"/>
      <c r="I3" s="372" t="s">
        <v>249</v>
      </c>
      <c r="J3" s="1503" t="s">
        <v>141</v>
      </c>
      <c r="K3" s="1504"/>
      <c r="L3" s="371" t="s">
        <v>150</v>
      </c>
      <c r="M3" s="132"/>
      <c r="N3" s="132"/>
    </row>
    <row r="4" spans="1:25" ht="11.25" customHeight="1">
      <c r="A4" s="373" t="s">
        <v>151</v>
      </c>
      <c r="B4" s="374"/>
      <c r="C4" s="375"/>
      <c r="D4" s="376" t="s">
        <v>143</v>
      </c>
      <c r="E4" s="377" t="s">
        <v>250</v>
      </c>
      <c r="F4" s="378" t="s">
        <v>251</v>
      </c>
      <c r="G4" s="379" t="s">
        <v>146</v>
      </c>
      <c r="H4" s="378" t="s">
        <v>252</v>
      </c>
      <c r="I4" s="378" t="s">
        <v>253</v>
      </c>
      <c r="J4" s="371" t="s">
        <v>215</v>
      </c>
      <c r="K4" s="371" t="s">
        <v>216</v>
      </c>
      <c r="L4" s="377" t="s">
        <v>153</v>
      </c>
      <c r="M4" s="132"/>
      <c r="N4" s="132"/>
    </row>
    <row r="5" spans="1:25" ht="11.25" customHeight="1">
      <c r="A5" s="380"/>
      <c r="B5" s="381"/>
      <c r="C5" s="382"/>
      <c r="D5" s="383" t="s">
        <v>154</v>
      </c>
      <c r="E5" s="384" t="s">
        <v>155</v>
      </c>
      <c r="F5" s="385" t="s">
        <v>254</v>
      </c>
      <c r="G5" s="386">
        <v>6600</v>
      </c>
      <c r="H5" s="378">
        <v>6700</v>
      </c>
      <c r="I5" s="378">
        <v>6800</v>
      </c>
      <c r="J5" s="387">
        <v>2023</v>
      </c>
      <c r="K5" s="387">
        <v>2024</v>
      </c>
      <c r="L5" s="387" t="s">
        <v>158</v>
      </c>
      <c r="M5" s="132"/>
      <c r="N5" s="132"/>
    </row>
    <row r="6" spans="1:25" ht="10.5" customHeight="1">
      <c r="A6" s="388" t="s">
        <v>255</v>
      </c>
      <c r="B6" s="356"/>
      <c r="C6" s="389" t="s">
        <v>6</v>
      </c>
      <c r="D6" s="1386">
        <v>115000</v>
      </c>
      <c r="E6" s="1386">
        <v>101290</v>
      </c>
      <c r="F6" s="84"/>
      <c r="G6" s="91"/>
      <c r="H6" s="23"/>
      <c r="I6" s="23"/>
      <c r="J6" s="392">
        <f t="array" ref="J6">[1]!F010F1000</f>
        <v>184968</v>
      </c>
      <c r="K6" s="393">
        <f t="shared" ref="K6:K13" si="0">SUM(D6:I6)</f>
        <v>216290</v>
      </c>
      <c r="L6" s="394">
        <f t="shared" ref="L6:L11" si="1">IF(J6=K6,0,IF(J6&gt;0,(K6-J6)/J6,""))</f>
        <v>0.16900000000000001</v>
      </c>
      <c r="M6" s="395" t="s">
        <v>6</v>
      </c>
      <c r="N6" s="237"/>
    </row>
    <row r="7" spans="1:25" ht="10.5" customHeight="1">
      <c r="A7" s="388" t="s">
        <v>256</v>
      </c>
      <c r="B7" s="356"/>
      <c r="C7" s="389" t="s">
        <v>9</v>
      </c>
      <c r="D7" s="20"/>
      <c r="E7" s="20"/>
      <c r="F7" s="20"/>
      <c r="G7" s="20"/>
      <c r="H7" s="20"/>
      <c r="I7" s="20"/>
      <c r="J7" s="392">
        <f t="array" ref="J7">[1]!F010F2100</f>
        <v>0</v>
      </c>
      <c r="K7" s="393">
        <f t="shared" si="0"/>
        <v>0</v>
      </c>
      <c r="L7" s="394">
        <f t="shared" si="1"/>
        <v>0</v>
      </c>
      <c r="M7" s="396" t="s">
        <v>9</v>
      </c>
      <c r="N7" s="397"/>
      <c r="O7" s="356"/>
      <c r="P7" s="356"/>
      <c r="Q7" s="358"/>
      <c r="R7" s="356"/>
      <c r="S7" s="398"/>
      <c r="T7" s="399"/>
      <c r="U7" s="399"/>
      <c r="V7" s="399"/>
      <c r="W7" s="399"/>
      <c r="X7" s="399"/>
      <c r="Y7" s="399"/>
    </row>
    <row r="8" spans="1:25" ht="10.5" customHeight="1">
      <c r="A8" s="388" t="s">
        <v>257</v>
      </c>
      <c r="B8" s="356"/>
      <c r="C8" s="389" t="s">
        <v>24</v>
      </c>
      <c r="D8" s="21"/>
      <c r="E8" s="21"/>
      <c r="F8" s="92"/>
      <c r="G8" s="92"/>
      <c r="H8" s="401"/>
      <c r="I8" s="92"/>
      <c r="J8" s="392">
        <f t="array" ref="J8">[1]!F010F2200</f>
        <v>0</v>
      </c>
      <c r="K8" s="393">
        <f t="shared" si="0"/>
        <v>0</v>
      </c>
      <c r="L8" s="394">
        <f t="shared" si="1"/>
        <v>0</v>
      </c>
      <c r="M8" s="396" t="s">
        <v>24</v>
      </c>
      <c r="N8" s="237"/>
      <c r="O8" s="356"/>
    </row>
    <row r="9" spans="1:25" s="202" customFormat="1" ht="10.5" customHeight="1">
      <c r="A9" s="402" t="s">
        <v>258</v>
      </c>
      <c r="B9" s="403"/>
      <c r="C9" s="404" t="s">
        <v>51</v>
      </c>
      <c r="D9" s="405"/>
      <c r="E9" s="405"/>
      <c r="F9" s="23"/>
      <c r="G9" s="405"/>
      <c r="H9" s="405"/>
      <c r="I9" s="405"/>
      <c r="J9" s="406">
        <f t="array" ref="J9">[1]!F010F2310</f>
        <v>0</v>
      </c>
      <c r="K9" s="393">
        <f t="shared" si="0"/>
        <v>0</v>
      </c>
      <c r="L9" s="407">
        <f t="shared" si="1"/>
        <v>0</v>
      </c>
      <c r="M9" s="395" t="s">
        <v>51</v>
      </c>
      <c r="N9" s="408"/>
    </row>
    <row r="10" spans="1:25" ht="10.5" customHeight="1">
      <c r="A10" s="402" t="s">
        <v>259</v>
      </c>
      <c r="B10" s="356"/>
      <c r="C10" s="389" t="s">
        <v>166</v>
      </c>
      <c r="D10" s="409"/>
      <c r="E10" s="409"/>
      <c r="F10" s="409"/>
      <c r="G10" s="410"/>
      <c r="H10" s="411"/>
      <c r="I10" s="93"/>
      <c r="J10" s="406">
        <f t="array" ref="J10">[1]!F010F2510</f>
        <v>0</v>
      </c>
      <c r="K10" s="393">
        <f t="shared" si="0"/>
        <v>0</v>
      </c>
      <c r="L10" s="412">
        <f t="shared" si="1"/>
        <v>0</v>
      </c>
      <c r="M10" s="395" t="s">
        <v>166</v>
      </c>
      <c r="N10" s="237"/>
    </row>
    <row r="11" spans="1:25" ht="10.5" customHeight="1">
      <c r="A11" s="413" t="s">
        <v>260</v>
      </c>
      <c r="B11" s="356"/>
      <c r="C11" s="389" t="s">
        <v>168</v>
      </c>
      <c r="D11" s="23"/>
      <c r="E11" s="23"/>
      <c r="F11" s="23"/>
      <c r="G11" s="409"/>
      <c r="H11" s="410"/>
      <c r="I11" s="411"/>
      <c r="J11" s="414">
        <f t="array" ref="J11">[1]!F010F3300</f>
        <v>0</v>
      </c>
      <c r="K11" s="414">
        <f t="shared" si="0"/>
        <v>0</v>
      </c>
      <c r="L11" s="415">
        <f t="shared" si="1"/>
        <v>0</v>
      </c>
      <c r="M11" s="395" t="s">
        <v>168</v>
      </c>
      <c r="N11" s="237"/>
    </row>
    <row r="12" spans="1:25" ht="10.5" customHeight="1">
      <c r="A12" s="413" t="s">
        <v>261</v>
      </c>
      <c r="C12" s="389" t="s">
        <v>170</v>
      </c>
      <c r="D12" s="416"/>
      <c r="E12" s="416"/>
      <c r="F12" s="416"/>
      <c r="G12" s="416"/>
      <c r="H12" s="108"/>
      <c r="I12" s="416"/>
      <c r="J12" s="391">
        <f t="array" ref="J12">[1]!F010F4000</f>
        <v>0</v>
      </c>
      <c r="K12" s="391">
        <f t="shared" si="0"/>
        <v>0</v>
      </c>
      <c r="L12" s="416"/>
      <c r="M12" s="395" t="s">
        <v>170</v>
      </c>
    </row>
    <row r="13" spans="1:25" ht="10.5" customHeight="1">
      <c r="A13" s="413" t="s">
        <v>262</v>
      </c>
      <c r="C13" s="389" t="s">
        <v>172</v>
      </c>
      <c r="D13" s="416"/>
      <c r="E13" s="416"/>
      <c r="F13" s="416"/>
      <c r="G13" s="416"/>
      <c r="H13" s="416"/>
      <c r="I13" s="97"/>
      <c r="J13" s="391">
        <f t="array" ref="J13">[1]!F010F5000</f>
        <v>0</v>
      </c>
      <c r="K13" s="391">
        <f t="shared" si="0"/>
        <v>0</v>
      </c>
      <c r="L13" s="416"/>
      <c r="M13" s="395" t="s">
        <v>172</v>
      </c>
    </row>
    <row r="14" spans="1:25" ht="11.25" customHeight="1">
      <c r="A14" s="417" t="s">
        <v>263</v>
      </c>
      <c r="B14" s="418"/>
      <c r="C14" s="419" t="s">
        <v>174</v>
      </c>
      <c r="D14" s="420">
        <f t="shared" ref="D14:I14" si="2">SUM(D6:D13)</f>
        <v>115000</v>
      </c>
      <c r="E14" s="420">
        <f t="shared" si="2"/>
        <v>101290</v>
      </c>
      <c r="F14" s="420">
        <f t="shared" si="2"/>
        <v>0</v>
      </c>
      <c r="G14" s="420">
        <f t="shared" si="2"/>
        <v>0</v>
      </c>
      <c r="H14" s="420">
        <f t="shared" si="2"/>
        <v>0</v>
      </c>
      <c r="I14" s="420">
        <f t="shared" si="2"/>
        <v>0</v>
      </c>
      <c r="J14" s="421">
        <f t="array" ref="J14">[1]!F010TotalExp</f>
        <v>184968</v>
      </c>
      <c r="K14" s="422">
        <f>SUM(D14:I14)</f>
        <v>216290</v>
      </c>
      <c r="L14" s="394">
        <f>IF(J14=K14,0,IF(J14&gt;0,(K14-J14)/J14,""))</f>
        <v>0.16900000000000001</v>
      </c>
      <c r="M14" s="395" t="s">
        <v>174</v>
      </c>
      <c r="O14" s="423"/>
      <c r="P14" s="423"/>
      <c r="Q14" s="423"/>
      <c r="R14" s="423"/>
      <c r="S14" s="157"/>
      <c r="T14" s="157"/>
      <c r="U14" s="157"/>
      <c r="V14" s="157"/>
      <c r="W14" s="157"/>
      <c r="X14" s="157"/>
    </row>
    <row r="16" spans="1:25">
      <c r="L16" s="424" t="str">
        <f>IF(ROUND(F010TotalExp,0)&lt;ROUND(CSFBLBudgFY,0),CONCATENATE("The district has budgeted an amount in Fund 010 which is less than the Classroom Site Fund Budget Limit as calculated below by ",TEXT(CSFBLBudgFY-F010TotalExp,"$#,###"),"."),IF(ROUND(F010TotalExp,0)&gt;ROUND(CSFBLBudgFY,0),CONCATENATE("The district has budgeted greater in Fund 010 than the Classroom Site Fund Budget Limit as calculated below by ",TEXT(-CSFBLBudgFY+F010TotalExp,"$#,###"),"."),IF(ROUND(F010TotalExp,0)=ROUND(CSFBLBudgFY,0),CONCATENATE("The district has budgeted an amount in Fund 010 equal to the Classroom Site Fund Budget Limit as calculated below."))))</f>
        <v>The district has budgeted an amount in Fund 010 equal to the Classroom Site Fund Budget Limit as calculated below.</v>
      </c>
    </row>
    <row r="17" spans="1:22" hidden="1"/>
    <row r="18" spans="1:22" hidden="1"/>
    <row r="19" spans="1:22" hidden="1"/>
    <row r="20" spans="1:22" hidden="1"/>
    <row r="21" spans="1:22" hidden="1"/>
    <row r="22" spans="1:22" hidden="1"/>
    <row r="23" spans="1:22" hidden="1"/>
    <row r="24" spans="1:22" hidden="1"/>
    <row r="25" spans="1:22" hidden="1"/>
    <row r="26" spans="1:22" ht="22.5" hidden="1" customHeight="1"/>
    <row r="27" spans="1:22" ht="19.5" hidden="1" customHeight="1"/>
    <row r="28" spans="1:22" ht="12.75" hidden="1" customHeight="1"/>
    <row r="29" spans="1:22" ht="18.75" customHeight="1"/>
    <row r="30" spans="1:22" s="174" customFormat="1">
      <c r="A30" s="1505" t="s">
        <v>264</v>
      </c>
      <c r="B30" s="1505"/>
      <c r="C30" s="1505"/>
      <c r="D30" s="1505"/>
      <c r="F30" s="179"/>
      <c r="H30"/>
      <c r="K30"/>
      <c r="N30" s="124"/>
      <c r="O30" s="124"/>
      <c r="P30" s="124"/>
      <c r="Q30" s="124"/>
      <c r="R30" s="124"/>
      <c r="S30" s="124"/>
      <c r="T30" s="1506"/>
      <c r="U30" s="425"/>
      <c r="V30" s="426"/>
    </row>
    <row r="31" spans="1:22" s="174" customFormat="1" ht="25.5" customHeight="1">
      <c r="A31" s="1507" t="s">
        <v>265</v>
      </c>
      <c r="B31" s="1508"/>
      <c r="C31" s="427" t="s">
        <v>176</v>
      </c>
      <c r="D31" s="428" cm="1">
        <f t="array" ref="D31">'[1]Page 3'!CSFBLBudgFY</f>
        <v>184968</v>
      </c>
      <c r="E31"/>
      <c r="F31"/>
      <c r="G31"/>
      <c r="H31"/>
      <c r="K31"/>
      <c r="L31"/>
      <c r="N31" s="124"/>
      <c r="O31" s="1409"/>
      <c r="P31" s="1409"/>
      <c r="Q31" s="1409"/>
      <c r="R31" s="1409"/>
      <c r="S31" s="124"/>
      <c r="T31" s="1506"/>
      <c r="U31" s="429"/>
      <c r="V31" s="426"/>
    </row>
    <row r="32" spans="1:22" s="174" customFormat="1" ht="36" customHeight="1">
      <c r="A32" s="1491" t="s">
        <v>266</v>
      </c>
      <c r="B32" s="1492"/>
      <c r="C32" s="431" t="s">
        <v>178</v>
      </c>
      <c r="D32" s="94">
        <v>105118</v>
      </c>
      <c r="E32" s="432" t="str">
        <f>IF(AND(CSFBLCurrFY&lt;&gt;0,CSFActualCurrFY=""),"Please enter prior year CSF actual expenditures on line 11.","")</f>
        <v/>
      </c>
      <c r="F32"/>
      <c r="G32"/>
      <c r="H32"/>
      <c r="K32"/>
      <c r="L32"/>
      <c r="N32" s="124"/>
      <c r="O32" s="124"/>
      <c r="P32" s="124"/>
      <c r="Q32" s="124"/>
      <c r="R32" s="124"/>
      <c r="S32" s="124"/>
      <c r="T32" s="124"/>
      <c r="U32" s="124"/>
      <c r="V32" s="426"/>
    </row>
    <row r="33" spans="1:22" s="174" customFormat="1" ht="24" customHeight="1">
      <c r="A33" s="1496" t="s">
        <v>267</v>
      </c>
      <c r="B33" s="1497"/>
      <c r="C33" s="433" t="s">
        <v>180</v>
      </c>
      <c r="D33" s="434">
        <f>D31-D32</f>
        <v>79850</v>
      </c>
      <c r="E33"/>
      <c r="F33"/>
      <c r="G33"/>
      <c r="H33"/>
      <c r="K33"/>
      <c r="L33"/>
      <c r="N33" s="156"/>
      <c r="O33" s="283"/>
      <c r="P33" s="283"/>
      <c r="Q33" s="283"/>
      <c r="R33" s="124"/>
      <c r="S33" s="124"/>
      <c r="T33" s="131"/>
      <c r="U33" s="124"/>
      <c r="V33" s="426"/>
    </row>
    <row r="34" spans="1:22" s="174" customFormat="1" ht="22.5" customHeight="1">
      <c r="A34" s="1491" t="s">
        <v>268</v>
      </c>
      <c r="B34" s="1492"/>
      <c r="C34" s="431" t="s">
        <v>182</v>
      </c>
      <c r="D34" s="95"/>
      <c r="E34"/>
      <c r="F34"/>
      <c r="G34"/>
      <c r="H34"/>
      <c r="K34"/>
      <c r="L34"/>
      <c r="N34" s="124"/>
      <c r="O34" s="1409"/>
      <c r="P34" s="1409"/>
      <c r="Q34" s="1409"/>
      <c r="R34" s="1409"/>
      <c r="S34" s="124"/>
      <c r="T34" s="124"/>
      <c r="U34" s="124"/>
      <c r="V34" s="426"/>
    </row>
    <row r="35" spans="1:22" s="435" customFormat="1" ht="25.5" customHeight="1">
      <c r="A35" s="1498" t="s">
        <v>269</v>
      </c>
      <c r="B35" s="1499"/>
      <c r="C35" s="431" t="s">
        <v>184</v>
      </c>
      <c r="D35" s="95">
        <f>180*758</f>
        <v>136440</v>
      </c>
      <c r="E35" s="432" t="str">
        <f>IF(AND(CSFBLCurrFY&lt;&gt;0,CSFAllocBudgFY=""),"Please enter the total current year CSF allocation on line 14.","")</f>
        <v/>
      </c>
      <c r="F35"/>
      <c r="G35"/>
      <c r="H35"/>
      <c r="K35"/>
      <c r="L35"/>
      <c r="N35" s="436"/>
      <c r="O35" s="1500"/>
      <c r="P35" s="1500"/>
      <c r="Q35" s="1500"/>
      <c r="R35" s="1500"/>
      <c r="S35" s="436"/>
      <c r="T35" s="437"/>
      <c r="U35" s="438"/>
      <c r="V35" s="439"/>
    </row>
    <row r="36" spans="1:22" s="174" customFormat="1" ht="22.5" customHeight="1">
      <c r="A36" s="1491" t="s">
        <v>270</v>
      </c>
      <c r="B36" s="1492"/>
      <c r="C36" s="431" t="s">
        <v>186</v>
      </c>
      <c r="D36" s="95"/>
      <c r="E36"/>
      <c r="F36"/>
      <c r="G36"/>
      <c r="H36"/>
      <c r="K36"/>
      <c r="L36"/>
      <c r="N36" s="156"/>
      <c r="O36" s="132"/>
      <c r="P36" s="124"/>
      <c r="Q36" s="124"/>
      <c r="R36" s="124"/>
      <c r="S36" s="124"/>
      <c r="T36" s="131"/>
      <c r="U36" s="429"/>
      <c r="V36" s="426"/>
    </row>
    <row r="37" spans="1:22" s="174" customFormat="1" ht="9.75" customHeight="1">
      <c r="A37" s="440"/>
      <c r="B37" s="441"/>
      <c r="C37" s="441"/>
      <c r="D37" s="442"/>
      <c r="E37"/>
      <c r="F37"/>
      <c r="G37"/>
      <c r="H37"/>
      <c r="K37"/>
      <c r="L37"/>
      <c r="N37" s="156"/>
      <c r="O37" s="124"/>
      <c r="P37" s="1409"/>
      <c r="Q37" s="1409"/>
      <c r="R37" s="1409"/>
      <c r="S37" s="124"/>
      <c r="T37" s="131"/>
      <c r="U37" s="429"/>
      <c r="V37" s="426"/>
    </row>
    <row r="38" spans="1:22" s="174" customFormat="1" ht="26.25" customHeight="1" thickBot="1">
      <c r="A38" s="1493" t="s">
        <v>271</v>
      </c>
      <c r="B38" s="1494"/>
      <c r="C38" s="443" t="s">
        <v>187</v>
      </c>
      <c r="D38" s="444">
        <f>SUM(D33:D36)</f>
        <v>216290</v>
      </c>
      <c r="E38"/>
      <c r="F38"/>
      <c r="G38"/>
      <c r="H38"/>
      <c r="K38"/>
      <c r="L38"/>
      <c r="N38" s="152"/>
      <c r="P38" s="152"/>
      <c r="Q38" s="152"/>
      <c r="R38" s="124"/>
      <c r="S38" s="124"/>
      <c r="T38" s="131"/>
      <c r="U38" s="429"/>
      <c r="V38" s="426"/>
    </row>
    <row r="39" spans="1:22" s="174" customFormat="1" ht="8.25" customHeight="1" thickTop="1">
      <c r="A39" s="179"/>
      <c r="K39" s="354"/>
      <c r="N39" s="283"/>
      <c r="O39" s="124"/>
      <c r="P39" s="124"/>
      <c r="Q39" s="124"/>
      <c r="R39" s="131"/>
      <c r="S39" s="429"/>
      <c r="T39" s="1495"/>
      <c r="U39" s="1495"/>
      <c r="V39" s="445"/>
    </row>
    <row r="40" spans="1:22" s="174" customFormat="1" ht="13.2">
      <c r="A40" s="446" t="s">
        <v>272</v>
      </c>
      <c r="C40" s="292"/>
      <c r="N40" s="124"/>
      <c r="O40" s="447"/>
      <c r="P40" s="447"/>
      <c r="Q40" s="447"/>
      <c r="R40" s="124"/>
      <c r="S40" s="124"/>
      <c r="T40" s="124"/>
      <c r="U40" s="124"/>
      <c r="V40" s="445"/>
    </row>
    <row r="41" spans="1:22" s="174" customFormat="1" ht="13.2">
      <c r="A41" s="448" t="s">
        <v>273</v>
      </c>
      <c r="N41" s="124"/>
      <c r="O41" s="124"/>
      <c r="P41" s="124"/>
      <c r="Q41" s="124"/>
      <c r="R41" s="124"/>
      <c r="S41" s="124"/>
      <c r="T41" s="124"/>
      <c r="U41" s="124"/>
      <c r="V41" s="445"/>
    </row>
    <row r="42" spans="1:22" s="174" customFormat="1" ht="15.6">
      <c r="A42" s="449"/>
      <c r="B42" s="352"/>
      <c r="C42" s="352"/>
      <c r="D42" s="352"/>
      <c r="E42" s="352"/>
      <c r="F42" s="352"/>
      <c r="G42" s="352"/>
      <c r="H42" s="352"/>
      <c r="I42" s="352"/>
      <c r="J42" s="352"/>
      <c r="K42" s="352"/>
      <c r="L42" s="352"/>
    </row>
  </sheetData>
  <sheetProtection sheet="1" formatCells="0" formatColumns="0" formatRows="0"/>
  <mergeCells count="17">
    <mergeCell ref="B1:E1"/>
    <mergeCell ref="D2:L2"/>
    <mergeCell ref="J3:K3"/>
    <mergeCell ref="A30:D30"/>
    <mergeCell ref="T30:T31"/>
    <mergeCell ref="A31:B31"/>
    <mergeCell ref="O31:R31"/>
    <mergeCell ref="A36:B36"/>
    <mergeCell ref="P37:R37"/>
    <mergeCell ref="A38:B38"/>
    <mergeCell ref="T39:U39"/>
    <mergeCell ref="A32:B32"/>
    <mergeCell ref="A33:B33"/>
    <mergeCell ref="A34:B34"/>
    <mergeCell ref="O34:R34"/>
    <mergeCell ref="A35:B35"/>
    <mergeCell ref="O35:R35"/>
  </mergeCells>
  <dataValidations count="2">
    <dataValidation type="whole" operator="lessThanOrEqual" allowBlank="1" showInputMessage="1" showErrorMessage="1" promptTitle="Reductions/Decreases" prompt="Enter reductions/decreases as negative amounts." sqref="U30">
      <formula1>0</formula1>
    </dataValidation>
    <dataValidation type="whole" operator="lessThanOrEqual" allowBlank="1" showInputMessage="1" showErrorMessage="1" prompt="This amount must be negative." sqref="U31 U36">
      <formula1>0</formula1>
    </dataValidation>
  </dataValidations>
  <hyperlinks>
    <hyperlink ref="C14" location="Page3Line9" display="9."/>
    <hyperlink ref="M14" r:id="rId1" display="13."/>
    <hyperlink ref="C32" location="Page3Line11" display="11."/>
    <hyperlink ref="C34" location="Page3Line13" display="13."/>
    <hyperlink ref="C36" location="Page3Line15" display="15."/>
    <hyperlink ref="C9" location="Page3Line4" display="4."/>
    <hyperlink ref="C35" location="Page3Line14" display="14."/>
  </hyperlinks>
  <pageMargins left="0.75" right="0.75" top="0.5" bottom="0.1" header="0.1" footer="0"/>
  <pageSetup paperSize="5" scale="75" fitToHeight="0" orientation="landscape" r:id="rId2"/>
  <headerFooter alignWithMargins="0">
    <oddFooter>&amp;L&amp;"Times New Roman,Bold"&amp;9Rev. 5/23 Arizona Department of Education and Auditor General&amp;C&amp;"Times New Roman,Regular"&amp;9&amp;D  &amp;T&amp;R&amp;"Times New Roman,Bold"&amp;9Page 3 of 8</oddFooter>
  </headerFooter>
  <drawing r:id="rId3"/>
</worksheet>
</file>

<file path=xl/worksheets/sheet6.xml><?xml version="1.0" encoding="utf-8"?>
<worksheet xmlns="http://schemas.openxmlformats.org/spreadsheetml/2006/main" xmlns:r="http://schemas.openxmlformats.org/officeDocument/2006/relationships">
  <sheetPr>
    <pageSetUpPr fitToPage="1"/>
  </sheetPr>
  <dimension ref="A1:P42"/>
  <sheetViews>
    <sheetView showGridLines="0" topLeftCell="A4" workbookViewId="0">
      <selection activeCell="K27" sqref="K27"/>
    </sheetView>
  </sheetViews>
  <sheetFormatPr defaultColWidth="8.90625" defaultRowHeight="15"/>
  <cols>
    <col min="1" max="1" width="25.6328125" customWidth="1"/>
    <col min="2" max="2" width="10.54296875" customWidth="1"/>
    <col min="3" max="3" width="3" customWidth="1"/>
    <col min="4" max="9" width="10.90625" customWidth="1"/>
    <col min="10" max="11" width="12.90625" customWidth="1"/>
    <col min="12" max="14" width="10.90625" customWidth="1"/>
    <col min="15" max="15" width="3.453125" style="399" customWidth="1"/>
    <col min="16" max="16" width="3" customWidth="1"/>
    <col min="17" max="18" width="8.90625" customWidth="1"/>
  </cols>
  <sheetData>
    <row r="1" spans="1:16">
      <c r="A1" s="125" t="s">
        <v>71</v>
      </c>
      <c r="B1" s="1459" t="str">
        <f>DistrictName</f>
        <v>Valley Union High School District</v>
      </c>
      <c r="C1" s="1501"/>
      <c r="D1" s="1501"/>
      <c r="E1" s="1501"/>
      <c r="F1" s="450"/>
      <c r="G1" s="125" t="s">
        <v>72</v>
      </c>
      <c r="H1" s="359" t="str">
        <f>Cover!H1</f>
        <v>Cochise</v>
      </c>
      <c r="K1" s="304" t="s">
        <v>73</v>
      </c>
      <c r="L1" s="128" t="str">
        <f>Cover!S1</f>
        <v>020522000</v>
      </c>
      <c r="M1" s="125" t="s">
        <v>74</v>
      </c>
      <c r="N1" s="451" t="str">
        <f>Cover!C8</f>
        <v>Proposed</v>
      </c>
      <c r="O1" s="191"/>
      <c r="P1" s="191"/>
    </row>
    <row r="2" spans="1:16">
      <c r="A2" s="308"/>
      <c r="B2" s="179"/>
      <c r="C2" s="179"/>
      <c r="D2" s="179"/>
      <c r="E2" s="179"/>
      <c r="F2" s="179"/>
      <c r="G2" s="179"/>
      <c r="H2" s="308"/>
      <c r="I2" s="179"/>
      <c r="J2" s="179"/>
      <c r="K2" s="179"/>
      <c r="L2" s="179"/>
      <c r="M2" s="308"/>
      <c r="N2" s="179"/>
      <c r="O2" s="272"/>
      <c r="P2" s="179"/>
    </row>
    <row r="3" spans="1:16" ht="15.6">
      <c r="A3" s="452" t="s">
        <v>274</v>
      </c>
      <c r="B3" s="453"/>
      <c r="C3" s="127"/>
      <c r="D3" s="1520" t="s">
        <v>275</v>
      </c>
      <c r="E3" s="1520"/>
      <c r="F3" s="1520"/>
      <c r="G3" s="1520"/>
      <c r="H3" s="1520"/>
      <c r="I3" s="1520"/>
      <c r="J3" s="1520"/>
      <c r="K3" s="1520"/>
      <c r="L3" s="1520"/>
      <c r="M3" s="1520"/>
      <c r="N3" s="216"/>
      <c r="O3" s="217"/>
      <c r="P3" s="127"/>
    </row>
    <row r="4" spans="1:16" ht="24.6">
      <c r="A4" s="218"/>
      <c r="B4" s="129"/>
      <c r="C4" s="129"/>
      <c r="D4" s="1515" t="s">
        <v>276</v>
      </c>
      <c r="E4" s="455" t="s">
        <v>277</v>
      </c>
      <c r="F4" s="1521" t="s">
        <v>1340</v>
      </c>
      <c r="G4" s="1517" t="s">
        <v>278</v>
      </c>
      <c r="H4" s="1517" t="s">
        <v>279</v>
      </c>
      <c r="I4" s="1517" t="s">
        <v>280</v>
      </c>
      <c r="J4" s="456"/>
      <c r="K4" s="457" t="s">
        <v>141</v>
      </c>
      <c r="L4" s="458"/>
      <c r="M4" s="459"/>
      <c r="N4" s="217"/>
      <c r="O4"/>
    </row>
    <row r="5" spans="1:16" ht="12" customHeight="1">
      <c r="A5" s="136"/>
      <c r="B5" s="124"/>
      <c r="C5" s="124"/>
      <c r="D5" s="1516"/>
      <c r="E5" s="460" t="s">
        <v>281</v>
      </c>
      <c r="F5" s="1522"/>
      <c r="G5" s="1518"/>
      <c r="H5" s="1519"/>
      <c r="I5" s="1519"/>
      <c r="J5" s="461" t="s">
        <v>282</v>
      </c>
      <c r="K5" s="134" t="s">
        <v>148</v>
      </c>
      <c r="L5" s="220" t="s">
        <v>149</v>
      </c>
      <c r="M5" s="220" t="s">
        <v>150</v>
      </c>
      <c r="N5" s="217"/>
      <c r="O5"/>
    </row>
    <row r="6" spans="1:16" ht="12" customHeight="1">
      <c r="A6" s="225" t="s">
        <v>151</v>
      </c>
      <c r="B6" s="127"/>
      <c r="C6" s="124"/>
      <c r="D6" s="1516"/>
      <c r="E6" s="460" t="s">
        <v>283</v>
      </c>
      <c r="F6" s="1522"/>
      <c r="G6" s="1518"/>
      <c r="H6" s="1519"/>
      <c r="I6" s="1519"/>
      <c r="J6" s="461" t="s">
        <v>284</v>
      </c>
      <c r="K6" s="134" t="s">
        <v>3</v>
      </c>
      <c r="L6" s="220" t="s">
        <v>3</v>
      </c>
      <c r="M6" s="220" t="s">
        <v>153</v>
      </c>
      <c r="N6" s="217"/>
      <c r="O6"/>
    </row>
    <row r="7" spans="1:16" ht="24.6">
      <c r="A7" s="227"/>
      <c r="B7" s="228"/>
      <c r="C7" s="229"/>
      <c r="D7" s="230">
        <v>6440</v>
      </c>
      <c r="E7" s="230" t="s">
        <v>285</v>
      </c>
      <c r="F7" s="462">
        <v>6655</v>
      </c>
      <c r="G7" s="230">
        <v>6700</v>
      </c>
      <c r="H7" s="230" t="s">
        <v>286</v>
      </c>
      <c r="I7" s="463" t="s">
        <v>287</v>
      </c>
      <c r="J7" s="464" t="s">
        <v>288</v>
      </c>
      <c r="K7" s="231">
        <v>2023</v>
      </c>
      <c r="L7" s="230">
        <v>2024</v>
      </c>
      <c r="M7" s="230" t="s">
        <v>158</v>
      </c>
      <c r="N7" s="217"/>
      <c r="O7"/>
    </row>
    <row r="8" spans="1:16" ht="13.5" customHeight="1">
      <c r="A8" s="465" t="s">
        <v>289</v>
      </c>
      <c r="B8" s="466"/>
      <c r="C8" s="467" t="s">
        <v>6</v>
      </c>
      <c r="D8" s="1"/>
      <c r="E8" s="1"/>
      <c r="F8" s="1"/>
      <c r="G8" s="1"/>
      <c r="H8" s="1"/>
      <c r="I8" s="1"/>
      <c r="J8" s="1"/>
      <c r="K8" s="468">
        <f>[1]!F610Override</f>
        <v>0</v>
      </c>
      <c r="L8" s="469">
        <f>SUM(D8:J8)</f>
        <v>0</v>
      </c>
      <c r="M8" s="470">
        <f>IF(K8=L8,0,IF(K8&gt;0,(L8-K8)/K8,""))</f>
        <v>0</v>
      </c>
      <c r="N8" s="471" t="s">
        <v>6</v>
      </c>
      <c r="O8"/>
    </row>
    <row r="9" spans="1:16" ht="12" customHeight="1">
      <c r="A9" s="472" t="s">
        <v>290</v>
      </c>
      <c r="B9" s="286"/>
      <c r="C9" s="473"/>
      <c r="D9" s="474"/>
      <c r="E9" s="474"/>
      <c r="F9" s="1529"/>
      <c r="G9" s="475"/>
      <c r="H9" s="1529"/>
      <c r="I9" s="1527"/>
      <c r="J9" s="469"/>
      <c r="K9" s="1525">
        <f>[1]!F610F1000</f>
        <v>100000</v>
      </c>
      <c r="L9" s="1524">
        <f>SUM(D10:J10)</f>
        <v>100000</v>
      </c>
      <c r="M9" s="1471">
        <f>IF(K9=L9,0,IF(K9&gt;0,(L9-K9)/K9,""))</f>
        <v>0</v>
      </c>
      <c r="N9" s="476"/>
      <c r="O9"/>
    </row>
    <row r="10" spans="1:16" ht="12" customHeight="1">
      <c r="A10" s="136" t="s">
        <v>291</v>
      </c>
      <c r="B10" s="124"/>
      <c r="C10" s="477" t="s">
        <v>9</v>
      </c>
      <c r="D10" s="37"/>
      <c r="E10" s="37">
        <v>50000</v>
      </c>
      <c r="F10" s="1530"/>
      <c r="G10" s="38">
        <v>50000</v>
      </c>
      <c r="H10" s="1530"/>
      <c r="I10" s="1528"/>
      <c r="J10" s="30"/>
      <c r="K10" s="1526"/>
      <c r="L10" s="1458"/>
      <c r="M10" s="1523">
        <f t="shared" ref="M10:M12" si="0">IF(K10=L10,0,IF(K10&gt;0,(L10-K10)/K10,"--"))</f>
        <v>0</v>
      </c>
      <c r="N10" s="471" t="s">
        <v>9</v>
      </c>
      <c r="O10"/>
    </row>
    <row r="11" spans="1:16" ht="12" customHeight="1">
      <c r="A11" s="136" t="s">
        <v>292</v>
      </c>
      <c r="B11" s="124"/>
      <c r="D11" s="474"/>
      <c r="E11" s="474"/>
      <c r="F11" s="478"/>
      <c r="G11" s="479"/>
      <c r="H11" s="1529"/>
      <c r="I11" s="1527"/>
      <c r="J11" s="469"/>
      <c r="K11" s="1524">
        <f>[1]!F610F21002200</f>
        <v>51634</v>
      </c>
      <c r="L11" s="1524">
        <f>SUM(D12:J12)</f>
        <v>51634</v>
      </c>
      <c r="M11" s="1471">
        <f>IF(K11=L11,0,IF(K11&gt;0,(L11-K11)/K11,""))</f>
        <v>0</v>
      </c>
      <c r="N11" s="480"/>
      <c r="O11"/>
    </row>
    <row r="12" spans="1:16" ht="12" customHeight="1">
      <c r="A12" s="136" t="s">
        <v>293</v>
      </c>
      <c r="B12" s="124"/>
      <c r="C12" s="477" t="s">
        <v>24</v>
      </c>
      <c r="D12" s="10"/>
      <c r="E12" s="10">
        <v>25000</v>
      </c>
      <c r="F12" s="111"/>
      <c r="G12" s="1387">
        <v>26634</v>
      </c>
      <c r="H12" s="1530"/>
      <c r="I12" s="1528"/>
      <c r="J12" s="30"/>
      <c r="K12" s="1453"/>
      <c r="L12" s="1458"/>
      <c r="M12" s="1523">
        <f t="shared" si="0"/>
        <v>0</v>
      </c>
      <c r="N12" s="471" t="s">
        <v>24</v>
      </c>
      <c r="O12"/>
    </row>
    <row r="13" spans="1:16" ht="12" customHeight="1">
      <c r="A13" s="136" t="s">
        <v>294</v>
      </c>
      <c r="B13" s="124"/>
      <c r="C13" s="477" t="s">
        <v>51</v>
      </c>
      <c r="D13" s="1"/>
      <c r="E13" s="482"/>
      <c r="F13" s="111"/>
      <c r="G13" s="1387">
        <v>25000</v>
      </c>
      <c r="H13" s="482"/>
      <c r="I13" s="1"/>
      <c r="J13" s="1"/>
      <c r="K13" s="468">
        <f>[1]!F610F2300240025002900</f>
        <v>25000</v>
      </c>
      <c r="L13" s="469">
        <f t="shared" ref="L13:L18" si="1">SUM(D13:J13)</f>
        <v>25000</v>
      </c>
      <c r="M13" s="266">
        <f t="shared" ref="M13:M19" si="2">IF(K13=L13,0,IF(K13&gt;0,(L13-K13)/K13,""))</f>
        <v>0</v>
      </c>
      <c r="N13" s="471" t="s">
        <v>51</v>
      </c>
      <c r="O13"/>
    </row>
    <row r="14" spans="1:16" ht="12" customHeight="1">
      <c r="A14" s="136" t="s">
        <v>295</v>
      </c>
      <c r="B14" s="124"/>
      <c r="C14" s="477" t="s">
        <v>166</v>
      </c>
      <c r="D14" s="1"/>
      <c r="E14" s="482"/>
      <c r="F14" s="111"/>
      <c r="G14" s="1387">
        <v>70000</v>
      </c>
      <c r="H14" s="482"/>
      <c r="I14" s="482"/>
      <c r="J14" s="1"/>
      <c r="K14" s="468">
        <f>[1]!F610F2600</f>
        <v>70000</v>
      </c>
      <c r="L14" s="469">
        <f t="shared" si="1"/>
        <v>70000</v>
      </c>
      <c r="M14" s="266">
        <f t="shared" si="2"/>
        <v>0</v>
      </c>
      <c r="N14" s="471" t="s">
        <v>166</v>
      </c>
      <c r="O14"/>
    </row>
    <row r="15" spans="1:16" ht="12" customHeight="1">
      <c r="A15" s="136" t="s">
        <v>296</v>
      </c>
      <c r="B15" s="124"/>
      <c r="C15" s="477" t="s">
        <v>168</v>
      </c>
      <c r="D15" s="1"/>
      <c r="E15" s="482"/>
      <c r="F15" s="111"/>
      <c r="G15" s="1">
        <v>137782</v>
      </c>
      <c r="H15" s="482"/>
      <c r="I15" s="482"/>
      <c r="J15" s="1"/>
      <c r="K15" s="483">
        <f>[1]!F610F2700</f>
        <v>290534</v>
      </c>
      <c r="L15" s="469">
        <f t="shared" si="1"/>
        <v>137782</v>
      </c>
      <c r="M15" s="266">
        <f t="shared" si="2"/>
        <v>-0.52600000000000002</v>
      </c>
      <c r="N15" s="471" t="s">
        <v>168</v>
      </c>
      <c r="O15"/>
    </row>
    <row r="16" spans="1:16" ht="12" customHeight="1">
      <c r="A16" s="136" t="s">
        <v>297</v>
      </c>
      <c r="B16" s="124"/>
      <c r="C16" s="477" t="s">
        <v>170</v>
      </c>
      <c r="D16" s="1"/>
      <c r="E16" s="482"/>
      <c r="F16" s="111"/>
      <c r="G16" s="1">
        <v>25000</v>
      </c>
      <c r="H16" s="482"/>
      <c r="I16" s="482"/>
      <c r="J16" s="1"/>
      <c r="K16" s="483">
        <f>[1]!F610F3000</f>
        <v>25000</v>
      </c>
      <c r="L16" s="469">
        <f t="shared" si="1"/>
        <v>25000</v>
      </c>
      <c r="M16" s="266">
        <f t="shared" si="2"/>
        <v>0</v>
      </c>
      <c r="N16" s="471" t="s">
        <v>170</v>
      </c>
      <c r="O16"/>
    </row>
    <row r="17" spans="1:16" ht="12" customHeight="1">
      <c r="A17" s="136" t="s">
        <v>298</v>
      </c>
      <c r="B17" s="124"/>
      <c r="C17" s="477" t="s">
        <v>172</v>
      </c>
      <c r="D17" s="1"/>
      <c r="E17" s="482"/>
      <c r="F17" s="111"/>
      <c r="G17" s="1">
        <v>100000</v>
      </c>
      <c r="H17" s="482"/>
      <c r="I17" s="482"/>
      <c r="J17" s="1"/>
      <c r="K17" s="483">
        <f>[1]!F610F4000</f>
        <v>100000</v>
      </c>
      <c r="L17" s="469">
        <f t="shared" si="1"/>
        <v>100000</v>
      </c>
      <c r="M17" s="266">
        <f t="shared" si="2"/>
        <v>0</v>
      </c>
      <c r="N17" s="471" t="s">
        <v>172</v>
      </c>
      <c r="O17"/>
    </row>
    <row r="18" spans="1:16" ht="12" customHeight="1">
      <c r="A18" s="136" t="s">
        <v>299</v>
      </c>
      <c r="B18" s="124"/>
      <c r="C18" s="477" t="s">
        <v>174</v>
      </c>
      <c r="D18" s="482"/>
      <c r="E18" s="482"/>
      <c r="F18" s="482"/>
      <c r="G18" s="482"/>
      <c r="H18" s="1"/>
      <c r="I18" s="1"/>
      <c r="J18" s="482"/>
      <c r="K18" s="483">
        <f>[1]!F610F5000</f>
        <v>0</v>
      </c>
      <c r="L18" s="469">
        <f t="shared" si="1"/>
        <v>0</v>
      </c>
      <c r="M18" s="266">
        <f t="shared" si="2"/>
        <v>0</v>
      </c>
      <c r="N18" s="471" t="s">
        <v>174</v>
      </c>
      <c r="O18"/>
    </row>
    <row r="19" spans="1:16" ht="12" customHeight="1">
      <c r="A19" s="257" t="s">
        <v>300</v>
      </c>
      <c r="B19" s="484"/>
      <c r="C19" s="485" t="s">
        <v>176</v>
      </c>
      <c r="D19" s="486">
        <f t="shared" ref="D19:J19" si="3">D10+SUM(D12:D18)</f>
        <v>0</v>
      </c>
      <c r="E19" s="486">
        <f t="shared" si="3"/>
        <v>75000</v>
      </c>
      <c r="F19" s="486">
        <f>F8+SUM(F11:F18)</f>
        <v>0</v>
      </c>
      <c r="G19" s="486">
        <f t="shared" si="3"/>
        <v>434416</v>
      </c>
      <c r="H19" s="486">
        <f t="shared" si="3"/>
        <v>0</v>
      </c>
      <c r="I19" s="486">
        <f t="shared" si="3"/>
        <v>0</v>
      </c>
      <c r="J19" s="486">
        <f t="shared" si="3"/>
        <v>0</v>
      </c>
      <c r="K19" s="486">
        <f>SUM(K9:K18)</f>
        <v>662168</v>
      </c>
      <c r="L19" s="486">
        <f>SUM(L9:L18)</f>
        <v>509416</v>
      </c>
      <c r="M19" s="487">
        <f t="shared" si="2"/>
        <v>-0.23100000000000001</v>
      </c>
      <c r="N19" s="471" t="s">
        <v>176</v>
      </c>
      <c r="O19"/>
    </row>
    <row r="20" spans="1:16" ht="12" customHeight="1">
      <c r="A20" s="124"/>
      <c r="B20" s="124"/>
      <c r="C20" s="488"/>
      <c r="D20" s="429"/>
      <c r="E20" s="429"/>
      <c r="F20" s="429"/>
      <c r="G20" s="429"/>
      <c r="H20" s="429"/>
      <c r="I20" s="429"/>
      <c r="J20" s="429"/>
      <c r="K20" s="429"/>
      <c r="L20" s="429"/>
      <c r="M20" s="489"/>
      <c r="N20" s="251"/>
      <c r="O20" s="490"/>
    </row>
    <row r="21" spans="1:16" ht="12" customHeight="1">
      <c r="A21" s="124"/>
      <c r="B21" s="124"/>
      <c r="C21" s="488"/>
      <c r="D21" s="429"/>
      <c r="F21" s="1509" t="str">
        <f>IF(ROUND('Page 4'!L19,0)&lt;ROUND('Page 8'!K32,0),CONCATENATE("The district has budgeted an amount in the UCO Fund which is less than the Unrestricted Capital Budget Limit as calculated on Page 8 of 8 by ",TEXT('Page 8'!K32-'Page 4'!L19,"$#,###"),"."),IF(ROUND('Page 4'!L19,0)&gt;ROUND('Page 8'!K32,0),CONCATENATE("The district has budgeted greater in the UCO Fund than the Unrestricted Capital Budget Limit as calculated on Page 8 of 8 by ",TEXT(-'Page 8'!K32+'Page 4'!L19,"$#,###"),"."),IF(ROUND('Page 4'!L19,0)=ROUND('Page 8'!K32,0),CONCATENATE("The district has budgeted an amount in the UCO Fund equal to the Unrestricted Capital Budget Limit as calculated on Page 8 of 8."))))</f>
        <v>The district has budgeted an amount in the UCO Fund equal to the Unrestricted Capital Budget Limit as calculated on Page 8 of 8.</v>
      </c>
      <c r="G21" s="1509"/>
      <c r="H21" s="1509"/>
      <c r="I21" s="1509"/>
      <c r="J21" s="1509"/>
      <c r="K21" s="1509"/>
      <c r="L21" s="1509"/>
      <c r="M21" s="1509"/>
      <c r="N21" s="491"/>
      <c r="O21" s="491"/>
      <c r="P21" s="491"/>
    </row>
    <row r="22" spans="1:16" ht="12" customHeight="1">
      <c r="O22" s="251"/>
      <c r="P22" s="477"/>
    </row>
    <row r="23" spans="1:16" ht="11.25" customHeight="1">
      <c r="A23" s="1513" t="s">
        <v>301</v>
      </c>
      <c r="B23" s="1514"/>
      <c r="C23" s="1514"/>
      <c r="D23" s="1514"/>
      <c r="E23" s="243" t="s">
        <v>302</v>
      </c>
      <c r="F23" s="155" t="s">
        <v>303</v>
      </c>
      <c r="G23" s="155"/>
      <c r="H23" s="155"/>
      <c r="I23" s="155"/>
      <c r="J23" s="155"/>
      <c r="K23" s="157"/>
      <c r="L23" s="134"/>
      <c r="M23" s="124"/>
      <c r="N23" s="134"/>
    </row>
    <row r="24" spans="1:16" ht="11.25" customHeight="1">
      <c r="A24" s="1514"/>
      <c r="B24" s="1514"/>
      <c r="C24" s="1514"/>
      <c r="D24" s="1514"/>
      <c r="G24" s="352"/>
      <c r="H24" s="352"/>
      <c r="I24" s="352"/>
      <c r="J24" s="352"/>
      <c r="K24" s="352"/>
      <c r="L24" s="134"/>
      <c r="M24" s="124"/>
      <c r="N24" s="134"/>
    </row>
    <row r="25" spans="1:16" ht="12.75" customHeight="1">
      <c r="A25" s="1514"/>
      <c r="B25" s="1514"/>
      <c r="C25" s="1514"/>
      <c r="D25" s="1514"/>
      <c r="F25" s="124" t="s">
        <v>304</v>
      </c>
      <c r="G25" s="124"/>
      <c r="H25" s="124"/>
      <c r="I25" s="124"/>
      <c r="J25" s="124"/>
      <c r="L25" s="124"/>
      <c r="M25" s="124"/>
      <c r="N25" s="124"/>
    </row>
    <row r="26" spans="1:16" ht="12" customHeight="1">
      <c r="A26" s="352"/>
      <c r="B26" s="352"/>
      <c r="C26" s="352"/>
      <c r="D26" s="352"/>
      <c r="F26" s="124" t="s">
        <v>305</v>
      </c>
      <c r="G26" s="124"/>
      <c r="H26" s="124"/>
      <c r="I26" s="124"/>
      <c r="J26" s="124"/>
      <c r="K26" s="27">
        <v>25000</v>
      </c>
      <c r="M26" s="124"/>
      <c r="N26" s="493"/>
    </row>
    <row r="27" spans="1:16" ht="11.25" customHeight="1">
      <c r="A27" s="124" t="s">
        <v>306</v>
      </c>
      <c r="B27" s="124"/>
      <c r="C27" s="124"/>
      <c r="D27" s="124"/>
      <c r="E27" s="124"/>
      <c r="G27" s="124"/>
      <c r="H27" s="124"/>
      <c r="I27" s="124"/>
      <c r="J27" s="124"/>
      <c r="K27" s="124"/>
      <c r="L27" s="177"/>
      <c r="M27" s="177"/>
      <c r="N27" s="177"/>
    </row>
    <row r="28" spans="1:16" ht="11.25" customHeight="1">
      <c r="A28" s="124"/>
      <c r="B28" s="1511" t="s">
        <v>307</v>
      </c>
      <c r="C28" s="124"/>
      <c r="D28" s="1511"/>
      <c r="G28" s="491"/>
      <c r="H28" s="491"/>
      <c r="I28" s="491"/>
      <c r="J28" s="491"/>
      <c r="K28" s="491"/>
      <c r="L28" s="124"/>
    </row>
    <row r="29" spans="1:16" ht="11.25" customHeight="1">
      <c r="A29" s="124"/>
      <c r="B29" s="1512"/>
      <c r="C29" s="124"/>
      <c r="D29" s="1511"/>
      <c r="H29" s="491"/>
      <c r="I29" s="491"/>
      <c r="J29" s="491"/>
      <c r="K29" s="491"/>
    </row>
    <row r="30" spans="1:16" ht="11.25" customHeight="1">
      <c r="A30" s="124" t="s">
        <v>308</v>
      </c>
      <c r="B30" s="1388">
        <v>30000</v>
      </c>
      <c r="C30" s="235"/>
      <c r="D30" s="425"/>
      <c r="E30" s="243" t="s">
        <v>309</v>
      </c>
      <c r="F30" s="1510" t="s">
        <v>310</v>
      </c>
      <c r="G30" s="1510"/>
      <c r="H30" s="1510"/>
      <c r="I30" s="1510"/>
      <c r="J30" s="1510"/>
      <c r="K30" s="491"/>
      <c r="L30" s="494"/>
      <c r="M30" s="491"/>
      <c r="N30" s="491"/>
      <c r="O30" s="132"/>
    </row>
    <row r="31" spans="1:16" ht="11.25" customHeight="1">
      <c r="A31" s="124" t="s">
        <v>311</v>
      </c>
      <c r="B31" s="1389">
        <v>60000</v>
      </c>
      <c r="C31" s="235"/>
      <c r="D31" s="425"/>
      <c r="F31" s="1510"/>
      <c r="G31" s="1510"/>
      <c r="H31" s="1510"/>
      <c r="I31" s="1510"/>
      <c r="J31" s="1510"/>
      <c r="K31" s="27"/>
      <c r="M31" s="491"/>
      <c r="N31" s="491"/>
    </row>
    <row r="32" spans="1:16" ht="11.25" customHeight="1">
      <c r="A32" s="124" t="s">
        <v>312</v>
      </c>
      <c r="B32" s="1389">
        <v>50000</v>
      </c>
      <c r="C32" s="235"/>
      <c r="D32" s="425"/>
      <c r="G32" s="491"/>
      <c r="H32" s="491"/>
      <c r="I32" s="491"/>
      <c r="J32" s="491"/>
      <c r="K32" s="491"/>
      <c r="L32" s="491"/>
      <c r="M32" s="491"/>
      <c r="N32" s="491"/>
    </row>
    <row r="33" spans="1:16" ht="11.25" customHeight="1">
      <c r="A33" s="124" t="s">
        <v>313</v>
      </c>
      <c r="B33" s="1390">
        <v>174449</v>
      </c>
      <c r="C33" s="235"/>
      <c r="D33" s="425"/>
      <c r="G33" s="496"/>
      <c r="H33" s="496"/>
      <c r="I33" s="496"/>
      <c r="J33" s="496"/>
      <c r="K33" s="496"/>
      <c r="L33" s="497"/>
      <c r="M33" s="491"/>
      <c r="N33" s="491"/>
    </row>
    <row r="34" spans="1:16" ht="12" customHeight="1">
      <c r="A34" s="124" t="s">
        <v>314</v>
      </c>
      <c r="B34" s="1389">
        <v>137782</v>
      </c>
      <c r="C34" s="235"/>
      <c r="D34" s="425"/>
      <c r="E34" s="124"/>
      <c r="G34" s="496"/>
      <c r="H34" s="496"/>
      <c r="I34" s="496"/>
      <c r="J34" s="496"/>
      <c r="K34" s="496"/>
      <c r="M34" s="491"/>
      <c r="N34" s="491"/>
    </row>
    <row r="35" spans="1:16" s="501" customFormat="1" ht="10.5" customHeight="1">
      <c r="A35" s="124" t="s">
        <v>315</v>
      </c>
      <c r="B35" s="1391">
        <v>100000</v>
      </c>
      <c r="C35" s="498"/>
      <c r="D35" s="499"/>
      <c r="E35" s="500"/>
      <c r="F35"/>
      <c r="G35" s="498"/>
      <c r="H35" s="500"/>
      <c r="I35" s="500"/>
      <c r="J35" s="500"/>
      <c r="K35" s="500"/>
      <c r="L35" s="500"/>
    </row>
    <row r="36" spans="1:16" ht="10.5" customHeight="1">
      <c r="A36" s="124"/>
      <c r="B36" s="124"/>
      <c r="C36" s="235"/>
      <c r="D36" s="124"/>
      <c r="E36" s="124"/>
      <c r="G36" s="237"/>
      <c r="H36" s="124"/>
      <c r="I36" s="124"/>
      <c r="J36" s="124"/>
      <c r="K36" s="124"/>
      <c r="L36" s="124"/>
    </row>
    <row r="37" spans="1:16" ht="11.25" customHeight="1">
      <c r="A37" s="124" t="s">
        <v>316</v>
      </c>
      <c r="B37" s="124"/>
      <c r="C37" s="237"/>
      <c r="D37" s="33"/>
      <c r="E37" s="124" t="s">
        <v>317</v>
      </c>
      <c r="G37" s="33"/>
      <c r="H37" s="124" t="s">
        <v>318</v>
      </c>
      <c r="I37" s="124"/>
      <c r="J37" s="33"/>
      <c r="K37" t="s">
        <v>55</v>
      </c>
    </row>
    <row r="38" spans="1:16" ht="6" customHeight="1">
      <c r="A38" s="124"/>
      <c r="B38" s="124"/>
      <c r="C38" s="235"/>
      <c r="D38" s="124"/>
      <c r="E38" s="124"/>
      <c r="G38" s="124"/>
      <c r="H38" s="124"/>
      <c r="I38" s="124"/>
      <c r="J38" s="502"/>
    </row>
    <row r="39" spans="1:16" ht="11.25" customHeight="1">
      <c r="A39" s="124" t="s">
        <v>319</v>
      </c>
      <c r="B39" s="124"/>
      <c r="C39" s="237"/>
      <c r="D39" s="33"/>
      <c r="E39" s="124" t="s">
        <v>320</v>
      </c>
      <c r="G39" s="33"/>
      <c r="H39" s="124" t="s">
        <v>321</v>
      </c>
      <c r="I39" s="124"/>
      <c r="J39" s="33"/>
      <c r="K39" t="s">
        <v>55</v>
      </c>
    </row>
    <row r="40" spans="1:16" ht="11.25" customHeight="1">
      <c r="A40" s="124"/>
      <c r="B40" s="124"/>
      <c r="C40" s="235"/>
      <c r="G40" s="237"/>
    </row>
    <row r="41" spans="1:16" ht="11.25" customHeight="1">
      <c r="A41" s="124"/>
      <c r="B41" s="124"/>
      <c r="C41" s="235"/>
      <c r="G41" s="237"/>
    </row>
    <row r="42" spans="1:16" ht="11.25" customHeight="1">
      <c r="A42" s="124"/>
      <c r="B42" s="124"/>
      <c r="C42" s="235"/>
      <c r="G42" s="237"/>
      <c r="P42" s="477"/>
    </row>
  </sheetData>
  <sheetProtection sheet="1" formatCells="0" formatColumns="0" formatRows="0"/>
  <mergeCells count="23">
    <mergeCell ref="I11:I12"/>
    <mergeCell ref="H11:H12"/>
    <mergeCell ref="I9:I10"/>
    <mergeCell ref="H9:H10"/>
    <mergeCell ref="F9:F10"/>
    <mergeCell ref="M11:M12"/>
    <mergeCell ref="K11:K12"/>
    <mergeCell ref="M9:M10"/>
    <mergeCell ref="L9:L10"/>
    <mergeCell ref="K9:K10"/>
    <mergeCell ref="L11:L12"/>
    <mergeCell ref="B1:E1"/>
    <mergeCell ref="D4:D6"/>
    <mergeCell ref="G4:G6"/>
    <mergeCell ref="H4:H6"/>
    <mergeCell ref="I4:I6"/>
    <mergeCell ref="D3:M3"/>
    <mergeCell ref="F4:F6"/>
    <mergeCell ref="F21:M21"/>
    <mergeCell ref="F30:J31"/>
    <mergeCell ref="B28:B29"/>
    <mergeCell ref="D28:D29"/>
    <mergeCell ref="A23:D25"/>
  </mergeCells>
  <hyperlinks>
    <hyperlink ref="E23" location="Page4f5" display="(5)"/>
    <hyperlink ref="C19" location="Page4L10" display="10."/>
    <hyperlink ref="E30" location="DataEntryUSCSCAl7" display="(7)"/>
  </hyperlinks>
  <pageMargins left="0.25" right="0.25" top="0.25" bottom="0.25" header="0" footer="0.15"/>
  <pageSetup paperSize="5" scale="97" orientation="landscape" r:id="rId1"/>
  <headerFooter alignWithMargins="0">
    <oddFooter>&amp;L&amp;"Times New Roman,Bold"&amp;9Rev. 5/23 Arizona Department of Education and Auditor General&amp;C&amp;"Times New Roman,Regular"&amp;9&amp;D  &amp;T&amp;R&amp;"Times New Roman,Bold"&amp;9Page 4 of 8</oddFooter>
  </headerFooter>
  <drawing r:id="rId2"/>
</worksheet>
</file>

<file path=xl/worksheets/sheet7.xml><?xml version="1.0" encoding="utf-8"?>
<worksheet xmlns="http://schemas.openxmlformats.org/spreadsheetml/2006/main" xmlns:r="http://schemas.openxmlformats.org/officeDocument/2006/relationships">
  <sheetPr>
    <pageSetUpPr fitToPage="1"/>
  </sheetPr>
  <dimension ref="A1:O40"/>
  <sheetViews>
    <sheetView showGridLines="0" workbookViewId="0">
      <selection activeCell="E25" sqref="E25"/>
    </sheetView>
  </sheetViews>
  <sheetFormatPr defaultColWidth="8.90625" defaultRowHeight="15"/>
  <cols>
    <col min="1" max="1" width="20" customWidth="1"/>
    <col min="2" max="2" width="19.81640625" customWidth="1"/>
    <col min="3" max="3" width="3" customWidth="1"/>
    <col min="4" max="5" width="10.90625" customWidth="1"/>
    <col min="12" max="12" width="2.90625" customWidth="1"/>
    <col min="13" max="13" width="7.54296875" customWidth="1"/>
    <col min="14" max="14" width="11.90625" customWidth="1"/>
  </cols>
  <sheetData>
    <row r="1" spans="1:15">
      <c r="A1" s="125" t="s">
        <v>71</v>
      </c>
      <c r="B1" s="1459" t="str">
        <f>DistrictName</f>
        <v>Valley Union High School District</v>
      </c>
      <c r="C1" s="1488"/>
      <c r="D1" s="1488"/>
      <c r="E1" s="1488"/>
      <c r="F1" s="179"/>
      <c r="G1" s="125" t="s">
        <v>72</v>
      </c>
      <c r="H1" s="126" t="str">
        <f>Cover!H1</f>
        <v>Cochise</v>
      </c>
      <c r="I1" s="272"/>
      <c r="J1" s="125" t="s">
        <v>73</v>
      </c>
      <c r="K1" s="128" t="str">
        <f>Cover!S1</f>
        <v>020522000</v>
      </c>
      <c r="L1" s="191"/>
      <c r="M1" s="125" t="s">
        <v>74</v>
      </c>
      <c r="N1" s="212" t="str">
        <f>Cover!C8</f>
        <v>Proposed</v>
      </c>
    </row>
    <row r="2" spans="1:15" ht="15.6">
      <c r="A2" s="308"/>
      <c r="B2" s="179"/>
      <c r="C2" s="179"/>
      <c r="D2" s="179"/>
      <c r="E2" s="179"/>
      <c r="F2" s="179"/>
      <c r="G2" s="308"/>
      <c r="H2" s="179"/>
      <c r="I2" s="179"/>
      <c r="J2" s="179"/>
      <c r="K2" s="308"/>
      <c r="L2" s="179"/>
      <c r="O2" s="127"/>
    </row>
    <row r="3" spans="1:15" ht="15.6">
      <c r="A3" s="503" t="s">
        <v>322</v>
      </c>
      <c r="B3" s="503"/>
      <c r="C3" s="503"/>
      <c r="D3" s="503"/>
      <c r="E3" s="503"/>
      <c r="F3" s="503"/>
      <c r="G3" s="503"/>
      <c r="H3" s="503"/>
      <c r="I3" s="503"/>
      <c r="J3" s="374"/>
      <c r="K3" s="374"/>
      <c r="L3" s="134"/>
      <c r="M3" s="134"/>
      <c r="N3" s="134"/>
      <c r="O3" s="127"/>
    </row>
    <row r="4" spans="1:15" ht="15.6">
      <c r="A4" s="356"/>
      <c r="B4" s="356"/>
      <c r="C4" s="356"/>
      <c r="D4" s="374"/>
      <c r="E4" s="504"/>
      <c r="F4" s="505"/>
      <c r="G4" s="505"/>
      <c r="H4" s="505"/>
      <c r="I4" s="505"/>
      <c r="J4" s="505"/>
      <c r="K4" s="505"/>
      <c r="L4" s="134"/>
      <c r="M4" s="506"/>
      <c r="N4" s="506"/>
      <c r="O4" s="127"/>
    </row>
    <row r="5" spans="1:15">
      <c r="A5" s="507"/>
      <c r="B5" s="508"/>
      <c r="C5" s="509"/>
      <c r="D5" s="1540" t="s">
        <v>323</v>
      </c>
      <c r="E5" s="1541"/>
      <c r="F5" s="1542" t="s">
        <v>324</v>
      </c>
      <c r="G5" s="1542"/>
      <c r="H5" s="1542" t="s">
        <v>325</v>
      </c>
      <c r="I5" s="1542"/>
      <c r="J5" s="1531" t="s">
        <v>326</v>
      </c>
      <c r="K5" s="1532"/>
      <c r="L5" s="510"/>
      <c r="M5" s="235"/>
    </row>
    <row r="6" spans="1:15">
      <c r="A6" s="511" t="s">
        <v>151</v>
      </c>
      <c r="B6" s="512"/>
      <c r="C6" s="513"/>
      <c r="D6" s="1535" t="s">
        <v>327</v>
      </c>
      <c r="E6" s="1536"/>
      <c r="F6" s="1537" t="s">
        <v>328</v>
      </c>
      <c r="G6" s="1537"/>
      <c r="H6" s="1537" t="s">
        <v>329</v>
      </c>
      <c r="I6" s="1537"/>
      <c r="J6" s="1533" t="s">
        <v>330</v>
      </c>
      <c r="K6" s="1534"/>
      <c r="L6" s="425"/>
    </row>
    <row r="7" spans="1:15">
      <c r="A7" s="514"/>
      <c r="B7" s="515"/>
      <c r="C7" s="516"/>
      <c r="D7" s="383" t="s">
        <v>215</v>
      </c>
      <c r="E7" s="517" t="s">
        <v>216</v>
      </c>
      <c r="F7" s="383" t="s">
        <v>215</v>
      </c>
      <c r="G7" s="517" t="s">
        <v>216</v>
      </c>
      <c r="H7" s="383" t="s">
        <v>215</v>
      </c>
      <c r="I7" s="517" t="s">
        <v>216</v>
      </c>
      <c r="J7" s="518" t="s">
        <v>215</v>
      </c>
      <c r="K7" s="519" t="s">
        <v>216</v>
      </c>
      <c r="L7" s="124"/>
      <c r="M7" s="237"/>
    </row>
    <row r="8" spans="1:15" ht="13.5" customHeight="1">
      <c r="A8" s="520" t="s">
        <v>331</v>
      </c>
      <c r="B8" s="521"/>
      <c r="C8" s="522" t="s">
        <v>6</v>
      </c>
      <c r="D8" s="523">
        <f>F610TotalCurrFY</f>
        <v>662168</v>
      </c>
      <c r="E8" s="524">
        <f>F610TotalBudgFY</f>
        <v>509416</v>
      </c>
      <c r="F8" s="524">
        <f>[1]!F630TotalBudgFY</f>
        <v>0</v>
      </c>
      <c r="G8" s="120"/>
      <c r="H8" s="524">
        <f>[1]!F695TotalBudgFY</f>
        <v>0</v>
      </c>
      <c r="I8" s="120"/>
      <c r="J8" s="525">
        <f>[1]!F620TotalBudgFY</f>
        <v>0</v>
      </c>
      <c r="K8" s="61"/>
      <c r="L8" s="526" t="s">
        <v>6</v>
      </c>
      <c r="M8" s="235"/>
    </row>
    <row r="9" spans="1:15" ht="13.5" customHeight="1">
      <c r="A9" s="527" t="s">
        <v>332</v>
      </c>
      <c r="B9" s="508"/>
      <c r="C9" s="522"/>
      <c r="D9" s="390"/>
      <c r="E9" s="528"/>
      <c r="F9" s="528"/>
      <c r="G9" s="529"/>
      <c r="H9" s="528"/>
      <c r="I9" s="529"/>
      <c r="J9" s="530"/>
      <c r="K9" s="531"/>
      <c r="L9" s="526"/>
      <c r="M9" s="237"/>
    </row>
    <row r="10" spans="1:15" ht="13.5" customHeight="1">
      <c r="A10" s="532" t="s">
        <v>333</v>
      </c>
      <c r="B10" s="358"/>
      <c r="C10" s="533" t="s">
        <v>9</v>
      </c>
      <c r="D10" s="524">
        <f>[1]!F610BudgFYO6150</f>
        <v>0</v>
      </c>
      <c r="E10" s="41"/>
      <c r="F10" s="524">
        <f>[1]!F630BudgFYO6150</f>
        <v>0</v>
      </c>
      <c r="G10" s="41"/>
      <c r="H10" s="524">
        <f>[1]!F695BudgFYO6150</f>
        <v>0</v>
      </c>
      <c r="I10" s="41"/>
      <c r="J10" s="524">
        <f>[1]!F620BudgFYO6150</f>
        <v>0</v>
      </c>
      <c r="K10" s="52"/>
      <c r="L10" s="448" t="s">
        <v>9</v>
      </c>
      <c r="M10" s="237"/>
    </row>
    <row r="11" spans="1:15" ht="13.5" customHeight="1">
      <c r="A11" s="532" t="s">
        <v>334</v>
      </c>
      <c r="B11" s="358"/>
      <c r="C11" s="533" t="s">
        <v>24</v>
      </c>
      <c r="D11" s="534">
        <f>[1]!F610BudgFYO6200</f>
        <v>0</v>
      </c>
      <c r="E11" s="42"/>
      <c r="F11" s="400">
        <f>[1]!F630BudgFYO6200</f>
        <v>0</v>
      </c>
      <c r="G11" s="42"/>
      <c r="H11" s="400">
        <f>[1]!F695BudgFYO6200</f>
        <v>0</v>
      </c>
      <c r="I11" s="42"/>
      <c r="J11" s="400">
        <f>[1]!F620BudgFYO6200</f>
        <v>0</v>
      </c>
      <c r="K11" s="23"/>
      <c r="L11" s="448" t="s">
        <v>24</v>
      </c>
      <c r="M11" s="251"/>
    </row>
    <row r="12" spans="1:15" ht="13.5" customHeight="1">
      <c r="A12" s="532" t="s">
        <v>335</v>
      </c>
      <c r="B12" s="358"/>
      <c r="C12" s="533" t="s">
        <v>51</v>
      </c>
      <c r="D12" s="534">
        <f>[1]!F610BudgFYO6450</f>
        <v>0</v>
      </c>
      <c r="E12" s="42"/>
      <c r="F12" s="400">
        <f>[1]!F630BudgFYO6450</f>
        <v>0</v>
      </c>
      <c r="G12" s="42"/>
      <c r="H12" s="400">
        <f>[1]!F695BudgFYO6450</f>
        <v>0</v>
      </c>
      <c r="I12" s="42"/>
      <c r="J12" s="400">
        <f>[1]!F620BudgFYO6450</f>
        <v>0</v>
      </c>
      <c r="K12" s="23"/>
      <c r="L12" s="448" t="s">
        <v>51</v>
      </c>
      <c r="M12" s="251"/>
    </row>
    <row r="13" spans="1:15" ht="13.5" customHeight="1">
      <c r="A13" s="532" t="s">
        <v>336</v>
      </c>
      <c r="B13" s="358"/>
      <c r="C13" s="533" t="s">
        <v>166</v>
      </c>
      <c r="D13" s="534">
        <f>[1]!F610BudgFYO6710</f>
        <v>0</v>
      </c>
      <c r="E13" s="42"/>
      <c r="F13" s="400">
        <f>[1]!F630BudgFYO6710</f>
        <v>0</v>
      </c>
      <c r="G13" s="42"/>
      <c r="H13" s="400">
        <f>[1]!F695BudgFYO6710</f>
        <v>0</v>
      </c>
      <c r="I13" s="42"/>
      <c r="J13" s="400">
        <f>[1]!F620BudgFYO6710</f>
        <v>0</v>
      </c>
      <c r="K13" s="23"/>
      <c r="L13" s="448" t="s">
        <v>166</v>
      </c>
      <c r="M13" s="251"/>
    </row>
    <row r="14" spans="1:15" ht="13.5" customHeight="1">
      <c r="A14" s="532" t="s">
        <v>337</v>
      </c>
      <c r="B14" s="358"/>
      <c r="C14" s="533" t="s">
        <v>168</v>
      </c>
      <c r="D14" s="534">
        <f>[1]!F610BudgFYO6720</f>
        <v>0</v>
      </c>
      <c r="E14" s="42"/>
      <c r="F14" s="400">
        <f>[1]!F630BudgFYO6720</f>
        <v>0</v>
      </c>
      <c r="G14" s="42"/>
      <c r="H14" s="400">
        <f>[1]!F695BudgFYO6720</f>
        <v>0</v>
      </c>
      <c r="I14" s="42"/>
      <c r="J14" s="400">
        <f>[1]!F620BudgFYO6720</f>
        <v>0</v>
      </c>
      <c r="K14" s="23"/>
      <c r="L14" s="448" t="s">
        <v>168</v>
      </c>
      <c r="M14" s="237"/>
    </row>
    <row r="15" spans="1:15" ht="13.5" customHeight="1">
      <c r="A15" s="532" t="s">
        <v>338</v>
      </c>
      <c r="B15" s="358"/>
      <c r="C15" s="533" t="s">
        <v>170</v>
      </c>
      <c r="D15" s="534">
        <f>[1]!F610BudgFYO6731</f>
        <v>174449</v>
      </c>
      <c r="E15" s="400">
        <f>F610O6731</f>
        <v>174449</v>
      </c>
      <c r="F15" s="400">
        <f>[1]!F630BudgFYO6731</f>
        <v>0</v>
      </c>
      <c r="G15" s="42"/>
      <c r="H15" s="400">
        <f>[1]!F695BudgFYO6731</f>
        <v>0</v>
      </c>
      <c r="I15" s="42"/>
      <c r="J15" s="400">
        <f>[1]!F620BudgFYO6731</f>
        <v>0</v>
      </c>
      <c r="K15" s="23"/>
      <c r="L15" s="448" t="s">
        <v>170</v>
      </c>
      <c r="M15" s="237"/>
    </row>
    <row r="16" spans="1:15" ht="13.5" customHeight="1">
      <c r="A16" s="532" t="s">
        <v>339</v>
      </c>
      <c r="B16" s="358"/>
      <c r="C16" s="533" t="s">
        <v>172</v>
      </c>
      <c r="D16" s="534">
        <f>[1]!F610BudgFYO6734</f>
        <v>345366</v>
      </c>
      <c r="E16" s="400">
        <f>F610O6734</f>
        <v>137782</v>
      </c>
      <c r="F16" s="400">
        <f>[1]!F630BudgFYO6734</f>
        <v>0</v>
      </c>
      <c r="G16" s="42"/>
      <c r="H16" s="400">
        <f>[1]!F695BudgFYO6734</f>
        <v>0</v>
      </c>
      <c r="I16" s="42"/>
      <c r="J16" s="400">
        <f>[1]!F620BudgFYO6734</f>
        <v>0</v>
      </c>
      <c r="K16" s="23"/>
      <c r="L16" s="448" t="s">
        <v>172</v>
      </c>
      <c r="M16" s="237"/>
    </row>
    <row r="17" spans="1:15" ht="13.5" customHeight="1">
      <c r="A17" s="532" t="s">
        <v>340</v>
      </c>
      <c r="B17" s="358"/>
      <c r="C17" s="533" t="s">
        <v>174</v>
      </c>
      <c r="D17" s="534">
        <f>[1]!F610BudgFYO6737</f>
        <v>100000</v>
      </c>
      <c r="E17" s="400">
        <f>F610O6737</f>
        <v>100000</v>
      </c>
      <c r="F17" s="400">
        <f>[1]!F630BudgFYO6737</f>
        <v>0</v>
      </c>
      <c r="G17" s="42"/>
      <c r="H17" s="400">
        <f>[1]!F695BudgFYO6737</f>
        <v>0</v>
      </c>
      <c r="I17" s="42"/>
      <c r="J17" s="400">
        <f>[1]!F620BudgFYO6737</f>
        <v>0</v>
      </c>
      <c r="K17" s="22"/>
      <c r="L17" s="535" t="s">
        <v>174</v>
      </c>
      <c r="M17" s="237"/>
    </row>
    <row r="18" spans="1:15" ht="13.5" customHeight="1">
      <c r="A18" s="532" t="s">
        <v>341</v>
      </c>
      <c r="B18" s="358"/>
      <c r="C18" s="533" t="s">
        <v>176</v>
      </c>
      <c r="D18" s="534">
        <f>[1]!F610BudgFYO6831</f>
        <v>0</v>
      </c>
      <c r="E18" s="42"/>
      <c r="F18" s="400">
        <f>[1]!F630BudgFYO6831</f>
        <v>0</v>
      </c>
      <c r="G18" s="42"/>
      <c r="H18" s="400">
        <f>[1]!F695BudgFYO6831</f>
        <v>0</v>
      </c>
      <c r="I18" s="42"/>
      <c r="J18" s="400">
        <f>[1]!F620BudgFYO6831</f>
        <v>0</v>
      </c>
      <c r="K18" s="22"/>
      <c r="L18" s="535" t="s">
        <v>176</v>
      </c>
      <c r="M18" s="237"/>
    </row>
    <row r="19" spans="1:15" ht="13.5" customHeight="1">
      <c r="A19" s="536" t="s">
        <v>342</v>
      </c>
      <c r="B19" s="537"/>
      <c r="C19" s="533" t="s">
        <v>178</v>
      </c>
      <c r="D19" s="522">
        <f>[1]!F610BudgFYO6841</f>
        <v>0</v>
      </c>
      <c r="E19" s="45"/>
      <c r="F19" s="538">
        <f>[1]!F630BudgFYO6841</f>
        <v>0</v>
      </c>
      <c r="G19" s="45"/>
      <c r="H19" s="538">
        <f>[1]!F695BudgFYO6841</f>
        <v>0</v>
      </c>
      <c r="I19" s="45"/>
      <c r="J19" s="400">
        <f>[1]!F620BudgFYO6841</f>
        <v>0</v>
      </c>
      <c r="K19" s="53"/>
      <c r="L19" s="535" t="s">
        <v>178</v>
      </c>
      <c r="M19" s="237"/>
    </row>
    <row r="20" spans="1:15" ht="13.5" customHeight="1">
      <c r="A20" s="532" t="s">
        <v>343</v>
      </c>
      <c r="B20" s="358"/>
      <c r="C20" s="539" t="s">
        <v>180</v>
      </c>
      <c r="D20" s="391">
        <f t="shared" ref="D20:K20" si="0">SUM(D10:D19)</f>
        <v>619815</v>
      </c>
      <c r="E20" s="391">
        <f t="shared" si="0"/>
        <v>412231</v>
      </c>
      <c r="F20" s="391">
        <f t="shared" si="0"/>
        <v>0</v>
      </c>
      <c r="G20" s="391">
        <f t="shared" si="0"/>
        <v>0</v>
      </c>
      <c r="H20" s="391">
        <f t="shared" si="0"/>
        <v>0</v>
      </c>
      <c r="I20" s="391">
        <f t="shared" si="0"/>
        <v>0</v>
      </c>
      <c r="J20" s="391">
        <f t="shared" si="0"/>
        <v>0</v>
      </c>
      <c r="K20" s="391">
        <f t="shared" si="0"/>
        <v>0</v>
      </c>
      <c r="L20" s="448" t="s">
        <v>180</v>
      </c>
      <c r="M20" s="237"/>
    </row>
    <row r="21" spans="1:15" ht="13.5" customHeight="1">
      <c r="A21" s="402" t="s">
        <v>344</v>
      </c>
      <c r="C21" s="390"/>
      <c r="D21" s="540"/>
      <c r="E21" s="541"/>
      <c r="F21" s="540"/>
      <c r="G21" s="540"/>
      <c r="H21" s="540"/>
      <c r="I21" s="542"/>
      <c r="J21" s="418"/>
      <c r="K21" s="543"/>
      <c r="L21" s="356"/>
      <c r="M21" s="237"/>
    </row>
    <row r="22" spans="1:15" ht="13.5" customHeight="1">
      <c r="A22" s="532" t="s">
        <v>345</v>
      </c>
      <c r="B22" s="358"/>
      <c r="C22" s="533" t="s">
        <v>182</v>
      </c>
      <c r="D22" s="534">
        <f>[1]!F610BudgFYRenovation</f>
        <v>0</v>
      </c>
      <c r="E22" s="42"/>
      <c r="F22" s="400">
        <f>[1]!F630BudgFYRenovation</f>
        <v>0</v>
      </c>
      <c r="G22" s="42"/>
      <c r="H22" s="544"/>
      <c r="I22" s="544"/>
      <c r="J22" s="400">
        <f>[1]!F620BudgFYRenovation</f>
        <v>0</v>
      </c>
      <c r="K22" s="26"/>
      <c r="L22" s="535" t="s">
        <v>182</v>
      </c>
      <c r="M22" s="237"/>
    </row>
    <row r="23" spans="1:15" ht="13.5" customHeight="1">
      <c r="A23" s="532" t="s">
        <v>346</v>
      </c>
      <c r="B23" s="358"/>
      <c r="C23" s="533" t="s">
        <v>184</v>
      </c>
      <c r="D23" s="534">
        <f>[1]!F610BudgFYNewConstruction</f>
        <v>0</v>
      </c>
      <c r="E23" s="42"/>
      <c r="F23" s="400">
        <f>[1]!F630BudgFYNewConstruction</f>
        <v>0</v>
      </c>
      <c r="G23" s="42"/>
      <c r="H23" s="400">
        <f>[1]!F695BudgFYNewConstruction</f>
        <v>0</v>
      </c>
      <c r="I23" s="42"/>
      <c r="J23" s="400">
        <f>[1]!F620BudgFYNewConstruction</f>
        <v>0</v>
      </c>
      <c r="K23" s="22"/>
      <c r="L23" s="535" t="s">
        <v>184</v>
      </c>
      <c r="M23" s="237"/>
    </row>
    <row r="24" spans="1:15" ht="13.5" customHeight="1">
      <c r="A24" s="532" t="s">
        <v>347</v>
      </c>
      <c r="B24" s="358"/>
      <c r="C24" s="533" t="s">
        <v>186</v>
      </c>
      <c r="D24" s="534">
        <f>[1]!F610BudgFYOther</f>
        <v>619815</v>
      </c>
      <c r="E24" s="42">
        <v>412231</v>
      </c>
      <c r="F24" s="400">
        <f>[1]!F630BudgFYOther</f>
        <v>0</v>
      </c>
      <c r="G24" s="42"/>
      <c r="H24" s="400">
        <f>[1]!F695BudgFYOther</f>
        <v>0</v>
      </c>
      <c r="I24" s="42"/>
      <c r="J24" s="400">
        <f>[1]!F620BudgFYOther</f>
        <v>0</v>
      </c>
      <c r="K24" s="22"/>
      <c r="L24" s="535" t="s">
        <v>186</v>
      </c>
      <c r="M24" s="237"/>
    </row>
    <row r="25" spans="1:15" ht="13.5" customHeight="1">
      <c r="A25" s="514" t="s">
        <v>348</v>
      </c>
      <c r="B25" s="515"/>
      <c r="C25" s="545" t="s">
        <v>187</v>
      </c>
      <c r="D25" s="534">
        <f>SUM(D22:D24)</f>
        <v>619815</v>
      </c>
      <c r="E25" s="400">
        <f>SUM(E22:E24)</f>
        <v>412231</v>
      </c>
      <c r="F25" s="400">
        <f>SUM(F22:F24)</f>
        <v>0</v>
      </c>
      <c r="G25" s="400">
        <f>SUM(G22:G24)</f>
        <v>0</v>
      </c>
      <c r="H25" s="400">
        <f>SUM(H23:H24)</f>
        <v>0</v>
      </c>
      <c r="I25" s="400">
        <f>SUM(I23:I24)</f>
        <v>0</v>
      </c>
      <c r="J25" s="400">
        <f>SUM(J22:J24)</f>
        <v>0</v>
      </c>
      <c r="K25" s="400">
        <f>SUM(K22:K24)</f>
        <v>0</v>
      </c>
      <c r="L25" s="448" t="s">
        <v>187</v>
      </c>
      <c r="M25" s="237"/>
    </row>
    <row r="26" spans="1:15">
      <c r="A26" s="124"/>
      <c r="B26" s="124"/>
      <c r="C26" s="235"/>
      <c r="D26" s="546"/>
      <c r="E26" s="547" t="str">
        <f>IF(SUM(E22:E24)=E20,"","Check line 12")</f>
        <v/>
      </c>
      <c r="F26" s="546"/>
      <c r="G26" s="547" t="str">
        <f>IF(SUM(G22:G24)=G20,"","Check line 12")</f>
        <v/>
      </c>
      <c r="H26" s="546"/>
      <c r="I26" s="547" t="str">
        <f>IF(SUM(I23:I24)=I20,"","Check line 12")</f>
        <v/>
      </c>
      <c r="J26" s="548"/>
      <c r="K26" s="549" t="str">
        <f>IF(SUM(K22:K24)=K20,"","Check line 12")</f>
        <v/>
      </c>
      <c r="L26" s="550"/>
      <c r="M26" s="131"/>
      <c r="N26" s="131"/>
      <c r="O26" s="237"/>
    </row>
    <row r="27" spans="1:15">
      <c r="A27" s="356" t="s">
        <v>349</v>
      </c>
      <c r="B27" s="124"/>
      <c r="C27" s="235"/>
      <c r="D27" s="546"/>
      <c r="E27" s="546"/>
      <c r="F27" s="546"/>
      <c r="G27" s="546"/>
      <c r="H27" s="546"/>
      <c r="I27" s="546"/>
      <c r="J27" s="548"/>
      <c r="K27" s="548"/>
      <c r="L27" s="550"/>
      <c r="M27" s="429"/>
      <c r="N27" s="429"/>
      <c r="O27" s="237"/>
    </row>
    <row r="28" spans="1:15">
      <c r="A28" s="448" t="s">
        <v>350</v>
      </c>
      <c r="B28" s="124"/>
      <c r="E28" s="62"/>
      <c r="F28" s="548"/>
      <c r="G28" s="548"/>
      <c r="H28" s="548"/>
      <c r="I28" s="548"/>
      <c r="J28" s="548"/>
      <c r="K28" s="548"/>
      <c r="L28" s="550"/>
      <c r="M28" s="429"/>
      <c r="N28" s="429"/>
      <c r="O28" s="237"/>
    </row>
    <row r="29" spans="1:15">
      <c r="A29" s="551" t="str">
        <f>IF((E28&gt;0),"Districts that are levying any amount for adjacent ways must fill in the Truth in Taxation Worksheet and follow the requirements of A.R.S. Sec. 15-905.01. The amount reported in footnote 2 above pulls to the Truth in Taxation Worksheet, Line 12.","")</f>
        <v/>
      </c>
      <c r="B29" s="124"/>
      <c r="C29" s="235"/>
      <c r="D29" s="548"/>
      <c r="E29" s="548"/>
      <c r="F29" s="248"/>
      <c r="G29" s="548"/>
      <c r="H29" s="548"/>
      <c r="I29" s="248"/>
      <c r="J29" s="548"/>
      <c r="K29" s="548"/>
      <c r="L29" s="550"/>
      <c r="M29" s="429"/>
      <c r="N29" s="429"/>
      <c r="O29" s="399"/>
    </row>
    <row r="30" spans="1:15">
      <c r="A30" s="124"/>
      <c r="B30" s="124"/>
      <c r="C30" s="235"/>
      <c r="D30" s="548"/>
      <c r="E30" s="548"/>
      <c r="F30" s="248"/>
      <c r="G30" s="548"/>
      <c r="H30" s="548"/>
      <c r="I30" s="248"/>
      <c r="J30" s="548"/>
      <c r="K30" s="248"/>
      <c r="L30" s="550"/>
      <c r="M30" s="131"/>
      <c r="N30" s="131"/>
      <c r="O30" s="237"/>
    </row>
    <row r="31" spans="1:15">
      <c r="A31" s="124"/>
      <c r="B31" s="124"/>
      <c r="D31" s="1539"/>
      <c r="E31" s="1539"/>
      <c r="F31" s="248"/>
      <c r="G31" s="1539"/>
      <c r="H31" s="1539"/>
      <c r="I31" s="248"/>
      <c r="J31" s="1539"/>
      <c r="K31" s="1539"/>
      <c r="L31" s="1543"/>
      <c r="M31" s="1538"/>
      <c r="N31" s="1538"/>
      <c r="O31" s="399"/>
    </row>
    <row r="32" spans="1:15">
      <c r="A32" s="124"/>
      <c r="B32" s="124"/>
      <c r="C32" s="235"/>
      <c r="D32" s="1490"/>
      <c r="E32" s="1490"/>
      <c r="F32" s="248"/>
      <c r="G32" s="1539"/>
      <c r="H32" s="1539"/>
      <c r="I32" s="248"/>
      <c r="J32" s="1490"/>
      <c r="K32" s="1544"/>
      <c r="L32" s="1543"/>
      <c r="M32" s="1506"/>
      <c r="N32" s="1506"/>
      <c r="O32" s="237"/>
    </row>
    <row r="33" spans="1:15">
      <c r="A33" s="124"/>
      <c r="B33" s="286"/>
      <c r="C33" s="235"/>
      <c r="D33" s="548"/>
      <c r="E33" s="548"/>
      <c r="F33" s="548"/>
      <c r="G33" s="548"/>
      <c r="H33" s="548"/>
      <c r="I33" s="548"/>
      <c r="J33" s="548"/>
      <c r="K33" s="548"/>
      <c r="L33" s="550"/>
      <c r="M33" s="131"/>
      <c r="N33" s="131"/>
      <c r="O33" s="237"/>
    </row>
    <row r="34" spans="1:15">
      <c r="A34" s="124"/>
      <c r="B34" s="124"/>
      <c r="C34" s="235"/>
      <c r="D34" s="548"/>
      <c r="E34" s="548"/>
      <c r="F34" s="548"/>
      <c r="G34" s="548"/>
      <c r="H34" s="548"/>
      <c r="I34" s="548"/>
      <c r="J34" s="548"/>
      <c r="K34" s="548"/>
      <c r="L34" s="550"/>
      <c r="M34" s="131"/>
      <c r="N34" s="131"/>
      <c r="O34" s="237"/>
    </row>
    <row r="35" spans="1:15">
      <c r="A35" s="124"/>
      <c r="B35" s="124"/>
      <c r="C35" s="235"/>
      <c r="D35" s="548"/>
      <c r="E35" s="548"/>
      <c r="F35" s="548"/>
      <c r="G35" s="548"/>
      <c r="H35" s="548"/>
      <c r="I35" s="548"/>
      <c r="J35" s="548"/>
      <c r="K35" s="548"/>
      <c r="L35" s="550"/>
      <c r="M35" s="131"/>
      <c r="N35" s="131"/>
      <c r="O35" s="237"/>
    </row>
    <row r="36" spans="1:15">
      <c r="A36" s="124"/>
      <c r="B36" s="124"/>
      <c r="C36" s="235"/>
      <c r="D36" s="548"/>
      <c r="E36" s="548"/>
      <c r="F36" s="548"/>
      <c r="G36" s="548"/>
      <c r="H36" s="548"/>
      <c r="I36" s="548"/>
      <c r="J36" s="548"/>
      <c r="K36" s="548"/>
      <c r="L36" s="550"/>
      <c r="M36" s="131"/>
      <c r="N36" s="131"/>
      <c r="O36" s="237"/>
    </row>
    <row r="37" spans="1:15">
      <c r="A37" s="124"/>
      <c r="B37" s="124"/>
      <c r="C37" s="235"/>
      <c r="D37" s="548"/>
      <c r="E37" s="548"/>
      <c r="F37" s="548"/>
      <c r="G37" s="548"/>
      <c r="H37" s="548"/>
      <c r="I37" s="548"/>
      <c r="J37" s="548"/>
      <c r="K37" s="548"/>
      <c r="L37" s="550"/>
      <c r="M37" s="131"/>
      <c r="N37" s="131"/>
      <c r="O37" s="237"/>
    </row>
    <row r="38" spans="1:15">
      <c r="A38" s="124"/>
      <c r="B38" s="124"/>
      <c r="C38" s="235"/>
      <c r="D38" s="548"/>
      <c r="E38" s="548"/>
      <c r="F38" s="548"/>
      <c r="G38" s="548"/>
      <c r="H38" s="548"/>
      <c r="I38" s="548"/>
      <c r="J38" s="548"/>
      <c r="K38" s="548"/>
      <c r="L38" s="550"/>
      <c r="M38" s="131"/>
      <c r="N38" s="131"/>
      <c r="O38" s="237"/>
    </row>
    <row r="39" spans="1:15">
      <c r="A39" s="124"/>
      <c r="B39" s="124"/>
      <c r="C39" s="235"/>
      <c r="D39" s="548"/>
      <c r="E39" s="548"/>
      <c r="F39" s="548"/>
      <c r="G39" s="548"/>
      <c r="H39" s="548"/>
      <c r="I39" s="548"/>
      <c r="J39" s="548"/>
      <c r="K39" s="548"/>
      <c r="L39" s="550"/>
      <c r="M39" s="429"/>
      <c r="N39" s="429"/>
      <c r="O39" s="237"/>
    </row>
    <row r="40" spans="1:15">
      <c r="B40" s="124"/>
      <c r="C40" s="235"/>
    </row>
  </sheetData>
  <sheetProtection sheet="1" formatCells="0" formatColumns="0" formatRows="0"/>
  <mergeCells count="18">
    <mergeCell ref="N31:N32"/>
    <mergeCell ref="L31:L32"/>
    <mergeCell ref="J31:J32"/>
    <mergeCell ref="K31:K32"/>
    <mergeCell ref="B1:E1"/>
    <mergeCell ref="D5:E5"/>
    <mergeCell ref="F5:G5"/>
    <mergeCell ref="H5:I5"/>
    <mergeCell ref="H6:I6"/>
    <mergeCell ref="J5:K5"/>
    <mergeCell ref="J6:K6"/>
    <mergeCell ref="D6:E6"/>
    <mergeCell ref="F6:G6"/>
    <mergeCell ref="M31:M32"/>
    <mergeCell ref="H31:H32"/>
    <mergeCell ref="D31:D32"/>
    <mergeCell ref="E31:E32"/>
    <mergeCell ref="G31:G32"/>
  </mergeCells>
  <hyperlinks>
    <hyperlink ref="A9" location="Page5SelectExp" display="Select Object Codes Detail (1)"/>
    <hyperlink ref="J5:K6" location="AdjacentWays" display="ADJACENT WAYS"/>
  </hyperlinks>
  <pageMargins left="0.7" right="0.7" top="0.75" bottom="0.75" header="0.3" footer="0.3"/>
  <pageSetup paperSize="5" scale="96" orientation="landscape" r:id="rId1"/>
  <headerFooter>
    <oddFooter>&amp;L&amp;"Times New Roman,Bold"&amp;8Rev. 5/23 Arizona Department of Education and Auditor General&amp;C&amp;"Times New Roman,Regular"&amp;8&amp;D  &amp;T&amp;R&amp;"Times New Roman,Bold"&amp;8Page 5 of 8</oddFooter>
  </headerFooter>
  <drawing r:id="rId2"/>
</worksheet>
</file>

<file path=xl/worksheets/sheet8.xml><?xml version="1.0" encoding="utf-8"?>
<worksheet xmlns="http://schemas.openxmlformats.org/spreadsheetml/2006/main" xmlns:r="http://schemas.openxmlformats.org/officeDocument/2006/relationships">
  <sheetPr transitionEvaluation="1" transitionEntry="1">
    <pageSetUpPr fitToPage="1"/>
  </sheetPr>
  <dimension ref="A1:U49"/>
  <sheetViews>
    <sheetView showGridLines="0" topLeftCell="A11" workbookViewId="0">
      <selection activeCell="T44" sqref="T44"/>
    </sheetView>
  </sheetViews>
  <sheetFormatPr defaultColWidth="9.90625" defaultRowHeight="15"/>
  <cols>
    <col min="1" max="1" width="3" customWidth="1"/>
    <col min="2" max="2" width="1" customWidth="1"/>
    <col min="4" max="4" width="28" customWidth="1"/>
    <col min="5" max="5" width="4.90625" customWidth="1"/>
    <col min="6" max="6" width="7.90625" customWidth="1"/>
    <col min="7" max="7" width="5.90625" customWidth="1"/>
    <col min="8" max="8" width="2.90625" customWidth="1"/>
    <col min="9" max="9" width="10.90625" customWidth="1"/>
    <col min="10" max="10" width="11" customWidth="1"/>
    <col min="11" max="11" width="2.90625" customWidth="1"/>
    <col min="12" max="12" width="4.90625" customWidth="1"/>
    <col min="13" max="13" width="2.90625" customWidth="1"/>
    <col min="14" max="14" width="1.90625" customWidth="1"/>
    <col min="16" max="16" width="9.90625" customWidth="1"/>
    <col min="17" max="17" width="8.453125" customWidth="1"/>
    <col min="18" max="18" width="4.90625" customWidth="1"/>
    <col min="21" max="21" width="3" customWidth="1"/>
  </cols>
  <sheetData>
    <row r="1" spans="1:21" ht="15" customHeight="1">
      <c r="A1" s="179"/>
      <c r="B1" s="179"/>
      <c r="C1" s="125" t="s">
        <v>71</v>
      </c>
      <c r="D1" s="1459" t="str">
        <f>DistrictName</f>
        <v>Valley Union High School District</v>
      </c>
      <c r="E1" s="1459"/>
      <c r="F1" s="1459"/>
      <c r="H1" s="179"/>
      <c r="I1" s="125" t="s">
        <v>72</v>
      </c>
      <c r="J1" s="1487" t="str">
        <f>Cover!H1</f>
        <v>Cochise</v>
      </c>
      <c r="K1" s="1488"/>
      <c r="L1" s="1488"/>
      <c r="M1" s="179"/>
      <c r="N1" s="179"/>
      <c r="O1" s="125" t="s">
        <v>73</v>
      </c>
      <c r="P1" s="1562" t="str">
        <f>Cover!S1</f>
        <v>020522000</v>
      </c>
      <c r="Q1" s="1488"/>
      <c r="R1" s="179"/>
      <c r="S1" s="125" t="s">
        <v>74</v>
      </c>
      <c r="T1" s="212" t="str">
        <f>Cover!C8</f>
        <v>Proposed</v>
      </c>
      <c r="U1" s="179"/>
    </row>
    <row r="2" spans="1:21" ht="8.25" customHeight="1">
      <c r="A2" s="179"/>
      <c r="B2" s="179"/>
      <c r="C2" s="179"/>
      <c r="D2" s="179"/>
      <c r="E2" s="179"/>
      <c r="F2" s="179"/>
      <c r="G2" s="179"/>
      <c r="H2" s="179"/>
      <c r="I2" s="179"/>
      <c r="J2" s="179"/>
      <c r="K2" s="179"/>
      <c r="L2" s="179"/>
      <c r="M2" s="179"/>
      <c r="N2" s="179"/>
      <c r="O2" s="179"/>
      <c r="P2" s="179"/>
      <c r="Q2" s="179"/>
      <c r="R2" s="179"/>
      <c r="S2" s="179"/>
      <c r="T2" s="179"/>
      <c r="U2" s="179"/>
    </row>
    <row r="3" spans="1:21" ht="12" customHeight="1">
      <c r="B3" s="552" t="s">
        <v>351</v>
      </c>
      <c r="C3" s="553"/>
      <c r="D3" s="554"/>
      <c r="E3" s="553"/>
      <c r="F3" s="555" t="s">
        <v>53</v>
      </c>
      <c r="G3" s="1567"/>
      <c r="H3" s="1568"/>
      <c r="I3" s="556"/>
      <c r="J3" s="557"/>
      <c r="K3" s="558"/>
      <c r="L3" s="558"/>
      <c r="M3" s="152" t="s">
        <v>352</v>
      </c>
      <c r="N3" s="152"/>
      <c r="O3" s="152"/>
      <c r="P3" s="152"/>
      <c r="Q3" s="152"/>
      <c r="R3" s="152"/>
      <c r="U3" s="132"/>
    </row>
    <row r="4" spans="1:21" ht="12" customHeight="1">
      <c r="A4" s="559"/>
      <c r="B4" s="560"/>
      <c r="C4" s="553"/>
      <c r="D4" s="554"/>
      <c r="E4" s="553"/>
      <c r="F4" s="561"/>
      <c r="G4" s="562"/>
      <c r="H4" s="563"/>
      <c r="I4" s="564"/>
      <c r="J4" s="565"/>
      <c r="K4" s="558"/>
      <c r="L4" s="558"/>
      <c r="S4" s="287" t="s">
        <v>215</v>
      </c>
      <c r="T4" s="287" t="s">
        <v>216</v>
      </c>
    </row>
    <row r="5" spans="1:21" ht="12" customHeight="1">
      <c r="A5" s="566"/>
      <c r="B5" s="566"/>
      <c r="C5" s="553"/>
      <c r="D5" s="553"/>
      <c r="E5" s="566"/>
      <c r="F5" s="1569" t="s">
        <v>142</v>
      </c>
      <c r="G5" s="1570"/>
      <c r="H5" s="1571"/>
      <c r="I5" s="567" t="s">
        <v>353</v>
      </c>
      <c r="J5" s="568"/>
      <c r="K5" s="558"/>
      <c r="L5" s="558"/>
      <c r="M5" s="569" t="s">
        <v>6</v>
      </c>
      <c r="N5" s="131"/>
      <c r="O5" s="124" t="s">
        <v>354</v>
      </c>
      <c r="Q5" s="152"/>
      <c r="R5" s="124"/>
      <c r="S5" s="570">
        <f>[1]!F050BudgFY</f>
        <v>0</v>
      </c>
      <c r="T5" s="9"/>
      <c r="U5" s="572" t="s">
        <v>6</v>
      </c>
    </row>
    <row r="6" spans="1:21" ht="12" customHeight="1">
      <c r="A6" s="573" t="s">
        <v>355</v>
      </c>
      <c r="B6" s="558"/>
      <c r="C6" s="574"/>
      <c r="D6" s="574"/>
      <c r="E6" s="574"/>
      <c r="F6" s="575" t="s">
        <v>215</v>
      </c>
      <c r="G6" s="1572" t="s">
        <v>216</v>
      </c>
      <c r="H6" s="1573"/>
      <c r="I6" s="576" t="s">
        <v>215</v>
      </c>
      <c r="J6" s="577" t="s">
        <v>216</v>
      </c>
      <c r="K6" s="558"/>
      <c r="L6" s="558"/>
      <c r="M6" s="578" t="s">
        <v>9</v>
      </c>
      <c r="N6" s="131"/>
      <c r="O6" s="124" t="s">
        <v>356</v>
      </c>
      <c r="R6" s="124"/>
      <c r="S6" s="571">
        <f>F071CurrFY</f>
        <v>0</v>
      </c>
      <c r="T6" s="571">
        <f>F071BudgFY</f>
        <v>0</v>
      </c>
      <c r="U6" s="572" t="s">
        <v>9</v>
      </c>
    </row>
    <row r="7" spans="1:21" ht="12" customHeight="1">
      <c r="A7" s="569" t="s">
        <v>6</v>
      </c>
      <c r="B7" s="558"/>
      <c r="C7" s="566" t="s">
        <v>357</v>
      </c>
      <c r="D7" s="566"/>
      <c r="E7" s="569"/>
      <c r="F7" s="579">
        <f>[1]!F100130Personnel</f>
        <v>0</v>
      </c>
      <c r="G7" s="1549"/>
      <c r="H7" s="1550"/>
      <c r="I7" s="580">
        <f>[1]!F100130BudgFY</f>
        <v>50000</v>
      </c>
      <c r="J7" s="6">
        <v>50000</v>
      </c>
      <c r="K7" s="572" t="s">
        <v>6</v>
      </c>
      <c r="L7" s="558"/>
      <c r="M7" s="578" t="s">
        <v>24</v>
      </c>
      <c r="N7" s="131"/>
      <c r="O7" s="124" t="s">
        <v>358</v>
      </c>
      <c r="R7" s="124"/>
      <c r="S7" s="571">
        <f>F072CurrFY</f>
        <v>0</v>
      </c>
      <c r="T7" s="571">
        <f>F072BudgFY</f>
        <v>0</v>
      </c>
      <c r="U7" s="572" t="s">
        <v>24</v>
      </c>
    </row>
    <row r="8" spans="1:21" ht="12" customHeight="1">
      <c r="A8" s="569" t="s">
        <v>9</v>
      </c>
      <c r="B8" s="558"/>
      <c r="C8" s="566" t="s">
        <v>359</v>
      </c>
      <c r="D8" s="566"/>
      <c r="E8" s="569"/>
      <c r="F8" s="579">
        <f>[1]!F140150Personnel</f>
        <v>0</v>
      </c>
      <c r="G8" s="1549"/>
      <c r="H8" s="1550"/>
      <c r="I8" s="580">
        <f>[1]!F140150BudgFY</f>
        <v>5000</v>
      </c>
      <c r="J8" s="6">
        <v>5000</v>
      </c>
      <c r="K8" s="572" t="s">
        <v>9</v>
      </c>
      <c r="L8" s="569"/>
      <c r="M8" s="581" t="s">
        <v>51</v>
      </c>
      <c r="N8" s="131"/>
      <c r="O8" s="582" t="s">
        <v>360</v>
      </c>
      <c r="R8" s="124"/>
      <c r="S8" s="571">
        <f>[1]!F500BudgFY</f>
        <v>5000</v>
      </c>
      <c r="T8" s="9">
        <v>5000</v>
      </c>
      <c r="U8" s="583" t="s">
        <v>51</v>
      </c>
    </row>
    <row r="9" spans="1:21" ht="12" customHeight="1">
      <c r="A9" s="569" t="s">
        <v>24</v>
      </c>
      <c r="B9" s="558"/>
      <c r="C9" s="566" t="s">
        <v>361</v>
      </c>
      <c r="D9" s="566"/>
      <c r="E9" s="569"/>
      <c r="F9" s="579">
        <f>[1]!F160Personnel</f>
        <v>0</v>
      </c>
      <c r="G9" s="1549"/>
      <c r="H9" s="1550"/>
      <c r="I9" s="580">
        <f>[1]!F160BudgFY</f>
        <v>10000</v>
      </c>
      <c r="J9" s="6">
        <v>10000</v>
      </c>
      <c r="K9" s="572" t="s">
        <v>24</v>
      </c>
      <c r="L9" s="569"/>
      <c r="M9" s="584" t="s">
        <v>166</v>
      </c>
      <c r="N9" s="124"/>
      <c r="O9" s="124" t="s">
        <v>362</v>
      </c>
      <c r="P9" s="124"/>
      <c r="Q9" s="124"/>
      <c r="R9" s="569"/>
      <c r="S9" s="571">
        <f>[1]!F510BudgFY</f>
        <v>75000</v>
      </c>
      <c r="T9" s="10">
        <v>75000</v>
      </c>
      <c r="U9" s="583" t="s">
        <v>166</v>
      </c>
    </row>
    <row r="10" spans="1:21" ht="12" customHeight="1">
      <c r="A10" s="569" t="s">
        <v>51</v>
      </c>
      <c r="B10" s="558"/>
      <c r="C10" s="566" t="s">
        <v>363</v>
      </c>
      <c r="D10" s="566"/>
      <c r="E10" s="569"/>
      <c r="F10" s="579">
        <f>[1]!F170180Personnel</f>
        <v>0</v>
      </c>
      <c r="G10" s="1549"/>
      <c r="H10" s="1550"/>
      <c r="I10" s="580">
        <f>[1]!F170180BudgFY</f>
        <v>0</v>
      </c>
      <c r="J10" s="6"/>
      <c r="K10" s="572" t="s">
        <v>51</v>
      </c>
      <c r="L10" s="569"/>
      <c r="M10" s="584" t="s">
        <v>168</v>
      </c>
      <c r="N10" s="131"/>
      <c r="O10" s="124" t="s">
        <v>364</v>
      </c>
      <c r="P10" s="124"/>
      <c r="Q10" s="124"/>
      <c r="R10" s="569"/>
      <c r="S10" s="571">
        <f>[1]!F515BudgFY</f>
        <v>4300</v>
      </c>
      <c r="T10" s="10">
        <v>4300</v>
      </c>
      <c r="U10" s="583" t="s">
        <v>168</v>
      </c>
    </row>
    <row r="11" spans="1:21" ht="12" customHeight="1">
      <c r="A11" s="569" t="s">
        <v>166</v>
      </c>
      <c r="B11" s="558"/>
      <c r="C11" s="566" t="s">
        <v>365</v>
      </c>
      <c r="D11" s="566"/>
      <c r="E11" s="569"/>
      <c r="F11" s="579">
        <f>[1]!F190Personnel</f>
        <v>0</v>
      </c>
      <c r="G11" s="1549"/>
      <c r="H11" s="1550"/>
      <c r="I11" s="580">
        <f>[1]!F190BudgFY</f>
        <v>0</v>
      </c>
      <c r="J11" s="6"/>
      <c r="K11" s="572" t="s">
        <v>166</v>
      </c>
      <c r="L11" s="569"/>
      <c r="M11" s="584" t="s">
        <v>170</v>
      </c>
      <c r="N11" s="131"/>
      <c r="O11" s="124" t="s">
        <v>366</v>
      </c>
      <c r="P11" s="124"/>
      <c r="Q11" s="124"/>
      <c r="R11" s="569"/>
      <c r="S11" s="571">
        <f>[1]!F520BudgFY</f>
        <v>0</v>
      </c>
      <c r="T11" s="9"/>
      <c r="U11" s="583" t="s">
        <v>170</v>
      </c>
    </row>
    <row r="12" spans="1:21" ht="12" customHeight="1">
      <c r="A12" s="569" t="s">
        <v>168</v>
      </c>
      <c r="B12" s="558"/>
      <c r="C12" s="566" t="s">
        <v>367</v>
      </c>
      <c r="D12" s="566"/>
      <c r="E12" s="569"/>
      <c r="F12" s="579">
        <f>[1]!F200Personnel</f>
        <v>0</v>
      </c>
      <c r="G12" s="1549"/>
      <c r="H12" s="1550"/>
      <c r="I12" s="580">
        <f>[1]!F200BudgFY</f>
        <v>0</v>
      </c>
      <c r="J12" s="6"/>
      <c r="K12" s="572" t="s">
        <v>168</v>
      </c>
      <c r="L12" s="569"/>
      <c r="M12" s="584" t="s">
        <v>172</v>
      </c>
      <c r="N12" s="131"/>
      <c r="O12" s="124" t="s">
        <v>368</v>
      </c>
      <c r="P12" s="124"/>
      <c r="Q12" s="124"/>
      <c r="R12" s="124"/>
      <c r="S12" s="571">
        <f>[1]!F525BudgFY</f>
        <v>35000</v>
      </c>
      <c r="T12" s="10">
        <v>35000</v>
      </c>
      <c r="U12" s="583" t="s">
        <v>172</v>
      </c>
    </row>
    <row r="13" spans="1:21" ht="12" customHeight="1">
      <c r="A13" s="569" t="s">
        <v>170</v>
      </c>
      <c r="B13" s="558"/>
      <c r="C13" s="566" t="s">
        <v>369</v>
      </c>
      <c r="D13" s="566"/>
      <c r="E13" s="569"/>
      <c r="F13" s="579">
        <f>[1]!F210Personnel</f>
        <v>0</v>
      </c>
      <c r="G13" s="1549"/>
      <c r="H13" s="1550"/>
      <c r="I13" s="580">
        <f>[1]!F210BudgFY</f>
        <v>0</v>
      </c>
      <c r="J13" s="6"/>
      <c r="K13" s="572" t="s">
        <v>170</v>
      </c>
      <c r="L13" s="569"/>
      <c r="M13" s="584" t="s">
        <v>174</v>
      </c>
      <c r="N13" s="131"/>
      <c r="O13" s="124" t="s">
        <v>370</v>
      </c>
      <c r="P13" s="124"/>
      <c r="Q13" s="124"/>
      <c r="R13" s="569"/>
      <c r="S13" s="571">
        <f>[1]!F526BudgFY</f>
        <v>4000</v>
      </c>
      <c r="T13" s="10">
        <v>4000</v>
      </c>
      <c r="U13" s="583" t="s">
        <v>174</v>
      </c>
    </row>
    <row r="14" spans="1:21" ht="12" customHeight="1">
      <c r="A14" s="569" t="s">
        <v>172</v>
      </c>
      <c r="B14" s="558"/>
      <c r="C14" s="566" t="s">
        <v>371</v>
      </c>
      <c r="D14" s="566"/>
      <c r="E14" s="569"/>
      <c r="F14" s="579">
        <f>[1]!F220Personnel</f>
        <v>0</v>
      </c>
      <c r="G14" s="1549"/>
      <c r="H14" s="1550"/>
      <c r="I14" s="580">
        <f>[1]!F220BudgFY</f>
        <v>25000</v>
      </c>
      <c r="J14" s="6">
        <v>25000</v>
      </c>
      <c r="K14" s="572" t="s">
        <v>172</v>
      </c>
      <c r="L14" s="569"/>
      <c r="M14" s="584" t="s">
        <v>176</v>
      </c>
      <c r="N14" s="131"/>
      <c r="O14" s="124" t="s">
        <v>372</v>
      </c>
      <c r="R14" s="569"/>
      <c r="S14" s="571">
        <f>[1]!F530BudgFY</f>
        <v>10000</v>
      </c>
      <c r="T14" s="10">
        <v>10000</v>
      </c>
      <c r="U14" s="583" t="s">
        <v>176</v>
      </c>
    </row>
    <row r="15" spans="1:21" ht="12" customHeight="1">
      <c r="A15" s="569" t="s">
        <v>174</v>
      </c>
      <c r="B15" s="558"/>
      <c r="C15" s="566" t="s">
        <v>373</v>
      </c>
      <c r="D15" s="566"/>
      <c r="E15" s="569"/>
      <c r="F15" s="579">
        <f>[1]!F230Personnel</f>
        <v>0</v>
      </c>
      <c r="G15" s="1549"/>
      <c r="H15" s="1550"/>
      <c r="I15" s="580">
        <f>[1]!F230BudgFY</f>
        <v>0</v>
      </c>
      <c r="J15" s="6"/>
      <c r="K15" s="572" t="s">
        <v>174</v>
      </c>
      <c r="L15" s="569"/>
      <c r="M15" s="584" t="s">
        <v>178</v>
      </c>
      <c r="N15" s="131"/>
      <c r="O15" s="275" t="s">
        <v>374</v>
      </c>
      <c r="P15" s="124"/>
      <c r="Q15" s="124"/>
      <c r="R15" s="569"/>
      <c r="S15" s="571">
        <f>[1]!F535BudgFY</f>
        <v>0</v>
      </c>
      <c r="T15" s="9"/>
      <c r="U15" s="583" t="s">
        <v>178</v>
      </c>
    </row>
    <row r="16" spans="1:21" ht="12" customHeight="1">
      <c r="A16" s="569" t="s">
        <v>176</v>
      </c>
      <c r="B16" s="558"/>
      <c r="C16" s="566" t="s">
        <v>375</v>
      </c>
      <c r="D16" s="566"/>
      <c r="E16" s="569"/>
      <c r="F16" s="579">
        <f>[1]!F240Personnel</f>
        <v>0</v>
      </c>
      <c r="G16" s="1549"/>
      <c r="H16" s="1550"/>
      <c r="I16" s="580">
        <f>[1]!F240BudgFY</f>
        <v>0</v>
      </c>
      <c r="J16" s="6"/>
      <c r="K16" s="572" t="s">
        <v>176</v>
      </c>
      <c r="L16" s="569"/>
      <c r="M16" s="584" t="s">
        <v>180</v>
      </c>
      <c r="N16" s="131"/>
      <c r="O16" s="132" t="s">
        <v>376</v>
      </c>
      <c r="P16" s="124"/>
      <c r="Q16" s="124"/>
      <c r="R16" s="569"/>
      <c r="S16" s="571">
        <f>[1]!F540BudgFY</f>
        <v>0</v>
      </c>
      <c r="T16" s="9"/>
      <c r="U16" s="583" t="s">
        <v>180</v>
      </c>
    </row>
    <row r="17" spans="1:21" ht="12" customHeight="1">
      <c r="A17" s="569" t="s">
        <v>178</v>
      </c>
      <c r="B17" s="558"/>
      <c r="C17" s="566" t="s">
        <v>377</v>
      </c>
      <c r="D17" s="566"/>
      <c r="E17" s="569"/>
      <c r="F17" s="579">
        <f>[1]!F250Personnel</f>
        <v>0</v>
      </c>
      <c r="G17" s="1549"/>
      <c r="H17" s="1550"/>
      <c r="I17" s="580">
        <f>[1]!F250BudgFY</f>
        <v>0</v>
      </c>
      <c r="J17" s="6"/>
      <c r="K17" s="572" t="s">
        <v>178</v>
      </c>
      <c r="L17" s="569"/>
      <c r="M17" s="584" t="s">
        <v>182</v>
      </c>
      <c r="N17" s="131"/>
      <c r="O17" s="132" t="s">
        <v>378</v>
      </c>
      <c r="P17" s="124"/>
      <c r="Q17" s="124"/>
      <c r="R17" s="569"/>
      <c r="S17" s="571">
        <f>[1]!F545BudgFY</f>
        <v>0</v>
      </c>
      <c r="T17" s="10"/>
      <c r="U17" s="583" t="s">
        <v>182</v>
      </c>
    </row>
    <row r="18" spans="1:21" ht="12" customHeight="1">
      <c r="A18" s="569" t="s">
        <v>180</v>
      </c>
      <c r="B18" s="558"/>
      <c r="C18" s="566" t="s">
        <v>379</v>
      </c>
      <c r="D18" s="566"/>
      <c r="E18" s="569"/>
      <c r="F18" s="579">
        <f>[1]!F260270Personnel</f>
        <v>0</v>
      </c>
      <c r="G18" s="1549"/>
      <c r="H18" s="1550"/>
      <c r="I18" s="580">
        <f>[1]!F260270BudgFY</f>
        <v>16000</v>
      </c>
      <c r="J18" s="6">
        <v>16000</v>
      </c>
      <c r="K18" s="572" t="s">
        <v>180</v>
      </c>
      <c r="L18" s="569"/>
      <c r="M18" s="584" t="s">
        <v>184</v>
      </c>
      <c r="N18" s="131"/>
      <c r="O18" s="124" t="s">
        <v>380</v>
      </c>
      <c r="P18" s="124"/>
      <c r="Q18" s="124"/>
      <c r="R18" s="569"/>
      <c r="S18" s="571">
        <f>[1]!F550BudgFY</f>
        <v>30000</v>
      </c>
      <c r="T18" s="9">
        <v>30000</v>
      </c>
      <c r="U18" s="583" t="s">
        <v>184</v>
      </c>
    </row>
    <row r="19" spans="1:21" ht="12" customHeight="1">
      <c r="A19" s="569" t="s">
        <v>182</v>
      </c>
      <c r="B19" s="558"/>
      <c r="C19" s="566" t="s">
        <v>381</v>
      </c>
      <c r="D19" s="566"/>
      <c r="E19" s="569"/>
      <c r="F19" s="579">
        <f>[1]!F280Personnel</f>
        <v>0</v>
      </c>
      <c r="G19" s="1549"/>
      <c r="H19" s="1550"/>
      <c r="I19" s="580">
        <f>[1]!F280BudgFY</f>
        <v>0</v>
      </c>
      <c r="J19" s="6"/>
      <c r="K19" s="572" t="s">
        <v>182</v>
      </c>
      <c r="L19" s="569"/>
      <c r="M19" s="584" t="s">
        <v>186</v>
      </c>
      <c r="N19" s="131"/>
      <c r="O19" s="124" t="s">
        <v>382</v>
      </c>
      <c r="P19" s="124"/>
      <c r="Q19" s="124"/>
      <c r="R19" s="569"/>
      <c r="S19" s="571">
        <f>[1]!F555BudgFY</f>
        <v>0</v>
      </c>
      <c r="T19" s="10"/>
      <c r="U19" s="583" t="s">
        <v>186</v>
      </c>
    </row>
    <row r="20" spans="1:21" ht="12" customHeight="1">
      <c r="A20" s="569" t="s">
        <v>184</v>
      </c>
      <c r="B20" s="558"/>
      <c r="C20" s="566" t="s">
        <v>383</v>
      </c>
      <c r="D20" s="566"/>
      <c r="E20" s="569"/>
      <c r="F20" s="579">
        <f>[1]!F290Personnel</f>
        <v>0</v>
      </c>
      <c r="G20" s="1549"/>
      <c r="H20" s="1550"/>
      <c r="I20" s="580">
        <f>[1]!F290BudgFY</f>
        <v>0</v>
      </c>
      <c r="J20" s="6"/>
      <c r="K20" s="572" t="s">
        <v>184</v>
      </c>
      <c r="L20" s="569"/>
      <c r="M20" s="584" t="s">
        <v>187</v>
      </c>
      <c r="N20" s="131"/>
      <c r="O20" s="124" t="s">
        <v>384</v>
      </c>
      <c r="P20" s="124"/>
      <c r="Q20" s="124"/>
      <c r="R20" s="569"/>
      <c r="S20" s="571">
        <f>[1]!F565BudgFY</f>
        <v>7400</v>
      </c>
      <c r="T20" s="10">
        <v>7400</v>
      </c>
      <c r="U20" s="583" t="s">
        <v>187</v>
      </c>
    </row>
    <row r="21" spans="1:21" ht="12" customHeight="1">
      <c r="A21" s="156" t="s">
        <v>186</v>
      </c>
      <c r="B21" s="558"/>
      <c r="C21" s="566" t="s">
        <v>385</v>
      </c>
      <c r="D21" s="566"/>
      <c r="E21" s="569"/>
      <c r="F21" s="579">
        <f>[1]!F374Personnel</f>
        <v>0</v>
      </c>
      <c r="G21" s="1574"/>
      <c r="H21" s="1575"/>
      <c r="I21" s="580">
        <f>[1]!F374BudgFY</f>
        <v>0</v>
      </c>
      <c r="J21" s="6"/>
      <c r="K21" s="583" t="s">
        <v>186</v>
      </c>
      <c r="L21" s="569"/>
      <c r="M21" s="584" t="s">
        <v>188</v>
      </c>
      <c r="N21" s="585"/>
      <c r="O21" s="124" t="s">
        <v>386</v>
      </c>
      <c r="P21" s="124"/>
      <c r="Q21" s="124"/>
      <c r="R21" s="569"/>
      <c r="S21" s="571">
        <f>[1]!F570BudgFY</f>
        <v>14000</v>
      </c>
      <c r="T21" s="10">
        <v>14000</v>
      </c>
      <c r="U21" s="583" t="s">
        <v>188</v>
      </c>
    </row>
    <row r="22" spans="1:21" ht="12" customHeight="1">
      <c r="A22" s="581" t="s">
        <v>187</v>
      </c>
      <c r="B22" s="558"/>
      <c r="C22" s="566" t="s">
        <v>387</v>
      </c>
      <c r="D22" s="566"/>
      <c r="E22" s="569"/>
      <c r="F22" s="579">
        <f>[1]!F378Personnel</f>
        <v>0</v>
      </c>
      <c r="G22" s="1574"/>
      <c r="H22" s="1575"/>
      <c r="I22" s="580">
        <f>[1]!F378BudgFY</f>
        <v>0</v>
      </c>
      <c r="J22" s="6"/>
      <c r="K22" s="583" t="s">
        <v>187</v>
      </c>
      <c r="L22" s="569"/>
      <c r="M22" s="584" t="s">
        <v>189</v>
      </c>
      <c r="N22" s="131"/>
      <c r="O22" s="124" t="s">
        <v>388</v>
      </c>
      <c r="P22" s="124"/>
      <c r="Q22" s="124"/>
      <c r="R22" s="569"/>
      <c r="S22" s="571">
        <f>[1]!F575BudgFY</f>
        <v>11000</v>
      </c>
      <c r="T22" s="10">
        <v>11000</v>
      </c>
      <c r="U22" s="583" t="s">
        <v>189</v>
      </c>
    </row>
    <row r="23" spans="1:21" ht="12" customHeight="1">
      <c r="A23" s="581" t="s">
        <v>188</v>
      </c>
      <c r="B23" s="558" t="s">
        <v>53</v>
      </c>
      <c r="C23" s="566" t="s">
        <v>389</v>
      </c>
      <c r="D23" s="566"/>
      <c r="E23" s="569"/>
      <c r="F23" s="579">
        <f>[1]!F300399OtherPersonnel</f>
        <v>0</v>
      </c>
      <c r="G23" s="1549"/>
      <c r="H23" s="1550"/>
      <c r="I23" s="580">
        <f>[1]!F300399OtherBudgFY</f>
        <v>40000</v>
      </c>
      <c r="J23" s="6">
        <v>40000</v>
      </c>
      <c r="K23" s="583" t="s">
        <v>188</v>
      </c>
      <c r="L23" s="569"/>
      <c r="M23" s="156" t="s">
        <v>190</v>
      </c>
      <c r="N23" s="131"/>
      <c r="O23" s="124" t="s">
        <v>390</v>
      </c>
      <c r="P23" s="124"/>
      <c r="Q23" s="124"/>
      <c r="R23" s="569"/>
      <c r="S23" s="571">
        <f>[1]!F580BudgFY</f>
        <v>0</v>
      </c>
      <c r="T23" s="9"/>
      <c r="U23" s="586" t="s">
        <v>190</v>
      </c>
    </row>
    <row r="24" spans="1:21" ht="12" customHeight="1" thickBot="1">
      <c r="A24" s="584" t="s">
        <v>189</v>
      </c>
      <c r="B24" s="558"/>
      <c r="C24" s="566" t="s">
        <v>391</v>
      </c>
      <c r="D24" s="566"/>
      <c r="E24" s="566"/>
      <c r="F24" s="587">
        <f>SUM(F7:F23)</f>
        <v>0</v>
      </c>
      <c r="G24" s="1576">
        <f>SUM(G7:H23)</f>
        <v>0</v>
      </c>
      <c r="H24" s="1577"/>
      <c r="I24" s="588">
        <f>SUM(I7:I23)</f>
        <v>146000</v>
      </c>
      <c r="J24" s="588">
        <f>SUM(J7:J23)</f>
        <v>146000</v>
      </c>
      <c r="K24" s="583" t="s">
        <v>189</v>
      </c>
      <c r="L24" s="131"/>
      <c r="M24" s="131" t="s">
        <v>191</v>
      </c>
      <c r="N24" s="131"/>
      <c r="O24" s="124" t="s">
        <v>392</v>
      </c>
      <c r="P24" s="124"/>
      <c r="Q24" s="124"/>
      <c r="R24" s="569"/>
      <c r="S24" s="571">
        <f>[1]!F585BudgFY</f>
        <v>14000</v>
      </c>
      <c r="T24" s="10">
        <v>14000</v>
      </c>
      <c r="U24" s="132" t="s">
        <v>191</v>
      </c>
    </row>
    <row r="25" spans="1:21" ht="12" customHeight="1" thickTop="1">
      <c r="A25" s="574" t="s">
        <v>393</v>
      </c>
      <c r="B25" s="566"/>
      <c r="C25" s="566"/>
      <c r="D25" s="566"/>
      <c r="E25" s="566"/>
      <c r="F25" s="1563">
        <f>[1]!F400Personnel</f>
        <v>0</v>
      </c>
      <c r="G25" s="589"/>
      <c r="H25" s="590"/>
      <c r="I25" s="1565">
        <f>[1]!F400BudgFY</f>
        <v>4000</v>
      </c>
      <c r="J25" s="591"/>
      <c r="K25" s="132"/>
      <c r="L25" s="131"/>
      <c r="M25" s="131" t="s">
        <v>192</v>
      </c>
      <c r="N25" s="585"/>
      <c r="O25" s="132" t="s">
        <v>394</v>
      </c>
      <c r="P25" s="124"/>
      <c r="Q25" s="124"/>
      <c r="R25" s="569"/>
      <c r="S25" s="571">
        <f>[1]!F590BudgFY</f>
        <v>0</v>
      </c>
      <c r="T25" s="10"/>
      <c r="U25" s="132" t="s">
        <v>192</v>
      </c>
    </row>
    <row r="26" spans="1:21" ht="12" customHeight="1">
      <c r="A26" s="131" t="s">
        <v>190</v>
      </c>
      <c r="B26" s="558"/>
      <c r="C26" s="566" t="s">
        <v>395</v>
      </c>
      <c r="D26" s="566"/>
      <c r="E26" s="569"/>
      <c r="F26" s="1564"/>
      <c r="G26" s="1588"/>
      <c r="H26" s="1589"/>
      <c r="I26" s="1566"/>
      <c r="J26" s="10">
        <v>4000</v>
      </c>
      <c r="K26" s="586" t="s">
        <v>190</v>
      </c>
      <c r="L26" s="569"/>
      <c r="M26" s="131" t="s">
        <v>193</v>
      </c>
      <c r="N26" s="585"/>
      <c r="O26" s="124" t="s">
        <v>396</v>
      </c>
      <c r="R26" s="124"/>
      <c r="S26" s="474">
        <f>[1]!F595BudgFY</f>
        <v>0</v>
      </c>
      <c r="T26" s="83"/>
      <c r="U26" s="132" t="s">
        <v>193</v>
      </c>
    </row>
    <row r="27" spans="1:21" ht="12" customHeight="1">
      <c r="A27" s="131" t="s">
        <v>191</v>
      </c>
      <c r="B27" s="558"/>
      <c r="C27" s="566" t="s">
        <v>397</v>
      </c>
      <c r="D27" s="566"/>
      <c r="E27" s="569"/>
      <c r="F27" s="592">
        <f>[1]!F410Personnel</f>
        <v>0</v>
      </c>
      <c r="G27" s="1549"/>
      <c r="H27" s="1550"/>
      <c r="I27" s="593">
        <f>[1]!F410BudgFY</f>
        <v>0</v>
      </c>
      <c r="J27" s="7"/>
      <c r="K27" s="132" t="s">
        <v>191</v>
      </c>
      <c r="L27" s="569"/>
      <c r="M27" s="131" t="s">
        <v>194</v>
      </c>
      <c r="N27" s="585"/>
      <c r="O27" s="124" t="s">
        <v>398</v>
      </c>
      <c r="R27" s="124"/>
      <c r="S27" s="478">
        <f>[1]!F596BudgFY</f>
        <v>100000</v>
      </c>
      <c r="T27" s="9">
        <v>100000</v>
      </c>
      <c r="U27" s="132" t="s">
        <v>194</v>
      </c>
    </row>
    <row r="28" spans="1:21" ht="12" customHeight="1">
      <c r="A28" s="131" t="s">
        <v>192</v>
      </c>
      <c r="B28" s="558"/>
      <c r="C28" s="566" t="s">
        <v>399</v>
      </c>
      <c r="D28" s="566"/>
      <c r="E28" s="569"/>
      <c r="F28" s="592">
        <f>[1]!F420Personnel</f>
        <v>0</v>
      </c>
      <c r="G28" s="1549"/>
      <c r="H28" s="1550"/>
      <c r="I28" s="593">
        <f>[1]!F420BudgFY</f>
        <v>0</v>
      </c>
      <c r="J28" s="7"/>
      <c r="K28" s="132" t="s">
        <v>192</v>
      </c>
      <c r="L28" s="569"/>
      <c r="M28" s="581" t="s">
        <v>196</v>
      </c>
      <c r="N28" s="585"/>
      <c r="O28" s="275" t="s">
        <v>400</v>
      </c>
      <c r="R28" s="275"/>
      <c r="S28" s="571">
        <f>[1]!F597BudgFY</f>
        <v>0</v>
      </c>
      <c r="T28" s="34"/>
      <c r="U28" s="594">
        <v>24</v>
      </c>
    </row>
    <row r="29" spans="1:21" ht="12" customHeight="1">
      <c r="A29" s="131" t="s">
        <v>193</v>
      </c>
      <c r="B29" s="558"/>
      <c r="C29" s="572" t="s">
        <v>401</v>
      </c>
      <c r="D29" s="566"/>
      <c r="E29" s="569"/>
      <c r="F29" s="592">
        <f>[1]!F425Personnel</f>
        <v>0</v>
      </c>
      <c r="G29" s="1549"/>
      <c r="H29" s="1550"/>
      <c r="I29" s="593">
        <f>[1]!F425BudgFY</f>
        <v>0</v>
      </c>
      <c r="J29" s="7"/>
      <c r="K29" s="132" t="s">
        <v>193</v>
      </c>
      <c r="L29" s="569"/>
      <c r="M29" s="595" t="s">
        <v>198</v>
      </c>
      <c r="N29" s="124"/>
      <c r="O29" s="132" t="s">
        <v>402</v>
      </c>
      <c r="P29" s="132"/>
      <c r="Q29" s="132"/>
      <c r="R29" s="569"/>
      <c r="S29" s="481">
        <f>[1]!F639BudgFY</f>
        <v>0</v>
      </c>
      <c r="T29" s="9"/>
      <c r="U29" s="596" t="s">
        <v>198</v>
      </c>
    </row>
    <row r="30" spans="1:21" ht="12" customHeight="1">
      <c r="A30" s="131" t="s">
        <v>194</v>
      </c>
      <c r="B30" s="558"/>
      <c r="C30" s="566" t="s">
        <v>403</v>
      </c>
      <c r="D30" s="566"/>
      <c r="E30" s="569"/>
      <c r="F30" s="592">
        <f>[1]!F430Personnel</f>
        <v>0</v>
      </c>
      <c r="G30" s="1549"/>
      <c r="H30" s="1550"/>
      <c r="I30" s="593">
        <f>[1]!F430BudgFY</f>
        <v>0</v>
      </c>
      <c r="J30" s="7"/>
      <c r="K30" s="132" t="s">
        <v>194</v>
      </c>
      <c r="L30" s="569"/>
      <c r="M30" s="595" t="s">
        <v>201</v>
      </c>
      <c r="O30" s="132" t="s">
        <v>404</v>
      </c>
      <c r="P30" s="132"/>
      <c r="Q30" s="132"/>
      <c r="R30" s="569"/>
      <c r="S30" s="571">
        <f>[1]!F650BudgFY</f>
        <v>0</v>
      </c>
      <c r="T30" s="9"/>
      <c r="U30" s="596" t="s">
        <v>201</v>
      </c>
    </row>
    <row r="31" spans="1:21" ht="12" customHeight="1">
      <c r="A31" s="235" t="s">
        <v>196</v>
      </c>
      <c r="B31" s="558"/>
      <c r="C31" s="566" t="s">
        <v>405</v>
      </c>
      <c r="D31" s="566"/>
      <c r="E31" s="569"/>
      <c r="F31" s="592">
        <f>[1]!F435Personnel</f>
        <v>0</v>
      </c>
      <c r="G31" s="1549"/>
      <c r="H31" s="1550"/>
      <c r="I31" s="593">
        <f>[1]!F435BudgFY</f>
        <v>0</v>
      </c>
      <c r="J31" s="7"/>
      <c r="K31" s="237" t="s">
        <v>196</v>
      </c>
      <c r="L31" s="569"/>
      <c r="M31" s="595" t="s">
        <v>203</v>
      </c>
      <c r="N31" s="124"/>
      <c r="O31" s="132" t="s">
        <v>406</v>
      </c>
      <c r="P31" s="124"/>
      <c r="Q31" s="124"/>
      <c r="R31" s="124"/>
      <c r="S31" s="571">
        <f>[1]!F660BudgFY</f>
        <v>0</v>
      </c>
      <c r="T31" s="9"/>
      <c r="U31" s="596" t="s">
        <v>203</v>
      </c>
    </row>
    <row r="32" spans="1:21" ht="12" customHeight="1">
      <c r="A32" s="235" t="s">
        <v>198</v>
      </c>
      <c r="B32" s="558"/>
      <c r="C32" s="566" t="s">
        <v>407</v>
      </c>
      <c r="D32" s="566"/>
      <c r="E32" s="569"/>
      <c r="F32" s="592">
        <f>[1]!F450Personnel</f>
        <v>0</v>
      </c>
      <c r="G32" s="1549"/>
      <c r="H32" s="1550"/>
      <c r="I32" s="593">
        <f>[1]!F450BudgFY</f>
        <v>0</v>
      </c>
      <c r="J32" s="7"/>
      <c r="K32" s="237" t="s">
        <v>198</v>
      </c>
      <c r="L32" s="569"/>
      <c r="M32" s="595" t="s">
        <v>206</v>
      </c>
      <c r="N32" s="585"/>
      <c r="O32" s="132" t="s">
        <v>408</v>
      </c>
      <c r="P32" s="124"/>
      <c r="Q32" s="124"/>
      <c r="R32" s="124"/>
      <c r="S32" s="571">
        <f>[1]!F665BudgFY</f>
        <v>0</v>
      </c>
      <c r="T32" s="9"/>
      <c r="U32" s="596" t="s">
        <v>206</v>
      </c>
    </row>
    <row r="33" spans="1:21" ht="12" customHeight="1">
      <c r="A33" s="581" t="s">
        <v>201</v>
      </c>
      <c r="B33" s="558"/>
      <c r="C33" s="597" t="s">
        <v>409</v>
      </c>
      <c r="D33" s="598"/>
      <c r="E33" s="569"/>
      <c r="F33" s="592">
        <f t="array" ref="F33">[1]!F456Personnel</f>
        <v>0</v>
      </c>
      <c r="G33" s="1574"/>
      <c r="H33" s="1575"/>
      <c r="I33" s="593">
        <f t="array" ref="I33">[1]!F456BudgFY</f>
        <v>0</v>
      </c>
      <c r="J33" s="7"/>
      <c r="K33" s="251" t="s">
        <v>201</v>
      </c>
      <c r="L33" s="131"/>
      <c r="M33" s="581" t="s">
        <v>208</v>
      </c>
      <c r="N33" s="124"/>
      <c r="O33" s="132" t="s">
        <v>410</v>
      </c>
      <c r="R33" s="124"/>
      <c r="S33" s="571">
        <f>[1]!F686BudgFY</f>
        <v>0</v>
      </c>
      <c r="T33" s="9"/>
      <c r="U33" s="599" t="s">
        <v>208</v>
      </c>
    </row>
    <row r="34" spans="1:21" ht="12" customHeight="1">
      <c r="A34" s="235" t="s">
        <v>203</v>
      </c>
      <c r="B34" s="558"/>
      <c r="C34" s="598" t="s">
        <v>411</v>
      </c>
      <c r="F34" s="592">
        <f>[1]!F460Personnel</f>
        <v>0</v>
      </c>
      <c r="G34" s="1549"/>
      <c r="H34" s="1550"/>
      <c r="I34" s="593">
        <f>[1]!F460BudgFY</f>
        <v>0</v>
      </c>
      <c r="J34" s="7"/>
      <c r="K34" s="251" t="s">
        <v>203</v>
      </c>
      <c r="L34" s="569"/>
      <c r="M34" s="600" t="s">
        <v>211</v>
      </c>
      <c r="N34" s="124"/>
      <c r="O34" s="132" t="s">
        <v>412</v>
      </c>
      <c r="R34" s="124"/>
      <c r="S34" s="571">
        <f>[1]!F691BudgFY</f>
        <v>200000</v>
      </c>
      <c r="T34" s="9">
        <v>200000</v>
      </c>
      <c r="U34" s="599" t="s">
        <v>211</v>
      </c>
    </row>
    <row r="35" spans="1:21" ht="12" customHeight="1" thickBot="1">
      <c r="A35" s="581" t="s">
        <v>206</v>
      </c>
      <c r="B35" s="558"/>
      <c r="C35" s="566" t="s">
        <v>413</v>
      </c>
      <c r="D35" s="598"/>
      <c r="E35" s="569"/>
      <c r="F35" s="601">
        <f>[1]!F465499Personnel</f>
        <v>0</v>
      </c>
      <c r="G35" s="1583"/>
      <c r="H35" s="1584"/>
      <c r="I35" s="602">
        <f>[1]!F465499BudgFY</f>
        <v>0</v>
      </c>
      <c r="J35" s="8"/>
      <c r="K35" s="251" t="s">
        <v>206</v>
      </c>
      <c r="L35" s="131"/>
      <c r="M35" s="603" t="s">
        <v>414</v>
      </c>
      <c r="O35" s="132" t="s">
        <v>415</v>
      </c>
      <c r="R35" s="124"/>
      <c r="S35" s="571">
        <f>[1]!F700BudgFY</f>
        <v>164000</v>
      </c>
      <c r="T35" s="9">
        <v>164000</v>
      </c>
      <c r="U35" s="599" t="s">
        <v>414</v>
      </c>
    </row>
    <row r="36" spans="1:21" ht="12" customHeight="1" thickBot="1">
      <c r="A36" s="477" t="s">
        <v>208</v>
      </c>
      <c r="B36" s="558"/>
      <c r="C36" s="566" t="s">
        <v>416</v>
      </c>
      <c r="D36" s="566"/>
      <c r="E36" s="569"/>
      <c r="F36" s="604">
        <f>SUM(F25:F35)</f>
        <v>0</v>
      </c>
      <c r="G36" s="1585">
        <f>SUM(G26:H35)</f>
        <v>0</v>
      </c>
      <c r="H36" s="1586"/>
      <c r="I36" s="588">
        <f>SUM(I25:I35)</f>
        <v>4000</v>
      </c>
      <c r="J36" s="588">
        <f>SUM(J26:J35)</f>
        <v>4000</v>
      </c>
      <c r="K36" s="251" t="s">
        <v>208</v>
      </c>
      <c r="L36" s="569"/>
      <c r="M36" s="595" t="s">
        <v>417</v>
      </c>
      <c r="N36" s="585"/>
      <c r="O36" s="132" t="s">
        <v>418</v>
      </c>
      <c r="R36" s="124"/>
      <c r="S36" s="571">
        <f>[1]!F720BudgFY</f>
        <v>0</v>
      </c>
      <c r="T36" s="9"/>
      <c r="U36" s="596" t="s">
        <v>417</v>
      </c>
    </row>
    <row r="37" spans="1:21" ht="12" customHeight="1" thickTop="1" thickBot="1">
      <c r="A37" s="477" t="s">
        <v>211</v>
      </c>
      <c r="B37" s="558"/>
      <c r="C37" s="566" t="s">
        <v>419</v>
      </c>
      <c r="D37" s="566"/>
      <c r="E37" s="566"/>
      <c r="F37" s="604">
        <f>F24+F36</f>
        <v>0</v>
      </c>
      <c r="G37" s="1585">
        <f>G24+G36</f>
        <v>0</v>
      </c>
      <c r="H37" s="1586"/>
      <c r="I37" s="605">
        <f>I24+I36</f>
        <v>150000</v>
      </c>
      <c r="J37" s="588">
        <f>J24+J36</f>
        <v>150000</v>
      </c>
      <c r="K37" s="251" t="s">
        <v>211</v>
      </c>
      <c r="L37" s="569"/>
      <c r="M37" s="581" t="s">
        <v>420</v>
      </c>
      <c r="N37" s="585"/>
      <c r="O37" s="594" t="s">
        <v>421</v>
      </c>
      <c r="R37" s="275"/>
      <c r="S37" s="571">
        <f>[1]!F850BudgFY</f>
        <v>20000</v>
      </c>
      <c r="T37" s="86">
        <v>20000</v>
      </c>
      <c r="U37" s="606" t="s">
        <v>420</v>
      </c>
    </row>
    <row r="38" spans="1:21" ht="12" customHeight="1" thickTop="1">
      <c r="A38" s="477"/>
      <c r="B38" s="558"/>
      <c r="D38" s="566"/>
      <c r="E38" s="566"/>
      <c r="K38" s="251"/>
      <c r="L38" s="569"/>
      <c r="M38" s="581" t="s">
        <v>422</v>
      </c>
      <c r="O38" s="13" t="s">
        <v>423</v>
      </c>
      <c r="R38" s="124"/>
      <c r="S38" s="481">
        <f>[1]!OtherFundsBudgFY</f>
        <v>0</v>
      </c>
      <c r="T38" s="9"/>
      <c r="U38" s="606" t="s">
        <v>422</v>
      </c>
    </row>
    <row r="39" spans="1:21" ht="12" customHeight="1">
      <c r="A39" s="1578" t="s">
        <v>424</v>
      </c>
      <c r="B39" s="1579"/>
      <c r="C39" s="1579"/>
      <c r="D39" s="1579"/>
      <c r="E39" s="1579"/>
      <c r="F39" s="1587" t="s">
        <v>215</v>
      </c>
      <c r="G39" s="1587"/>
      <c r="H39" s="1580" t="s">
        <v>216</v>
      </c>
      <c r="I39" s="1488"/>
      <c r="J39" s="607"/>
      <c r="K39" s="235"/>
      <c r="L39" s="569"/>
      <c r="O39" s="152" t="s">
        <v>425</v>
      </c>
      <c r="P39" s="124"/>
      <c r="Q39" s="124"/>
      <c r="R39" s="124"/>
      <c r="S39" s="124"/>
      <c r="T39" s="124"/>
    </row>
    <row r="40" spans="1:21" ht="12" customHeight="1">
      <c r="A40" s="569" t="s">
        <v>6</v>
      </c>
      <c r="C40" s="132" t="s">
        <v>426</v>
      </c>
      <c r="D40" s="399"/>
      <c r="F40" s="1557">
        <f>[1]!F020TeachCompIncrBudgFY</f>
        <v>16000</v>
      </c>
      <c r="G40" s="1558"/>
      <c r="H40" s="1581">
        <v>16000</v>
      </c>
      <c r="I40" s="1582"/>
      <c r="J40" s="608" t="s">
        <v>6</v>
      </c>
      <c r="K40" s="131"/>
      <c r="L40" s="124"/>
      <c r="M40" s="131" t="s">
        <v>6</v>
      </c>
      <c r="O40" s="18" t="s">
        <v>427</v>
      </c>
      <c r="P40" s="124"/>
      <c r="Q40" s="124"/>
      <c r="R40" s="124"/>
      <c r="S40" s="571">
        <f>[1]!F9__SelfInsBudgFY</f>
        <v>0</v>
      </c>
      <c r="T40" s="9"/>
      <c r="U40" s="586" t="s">
        <v>6</v>
      </c>
    </row>
    <row r="41" spans="1:21" ht="12" customHeight="1">
      <c r="A41" s="569" t="s">
        <v>9</v>
      </c>
      <c r="B41" s="124"/>
      <c r="C41" s="124" t="s">
        <v>428</v>
      </c>
      <c r="D41" s="124"/>
      <c r="E41" s="569"/>
      <c r="F41" s="1557">
        <f>[1]!F020ClassSizeRedBudgFY</f>
        <v>0</v>
      </c>
      <c r="G41" s="1558"/>
      <c r="H41" s="1555"/>
      <c r="I41" s="1556"/>
      <c r="J41" s="608" t="s">
        <v>9</v>
      </c>
      <c r="L41" s="124"/>
      <c r="M41" s="578" t="s">
        <v>9</v>
      </c>
      <c r="O41" s="132" t="s">
        <v>429</v>
      </c>
      <c r="P41" s="124"/>
      <c r="Q41" s="124"/>
      <c r="R41" s="569"/>
      <c r="S41" s="571">
        <f>[1]!F955BudgFY</f>
        <v>25000</v>
      </c>
      <c r="T41" s="10">
        <v>25000</v>
      </c>
      <c r="U41" s="251" t="s">
        <v>9</v>
      </c>
    </row>
    <row r="42" spans="1:21" ht="12" customHeight="1">
      <c r="A42" s="569" t="s">
        <v>24</v>
      </c>
      <c r="B42" s="124"/>
      <c r="C42" s="124" t="s">
        <v>430</v>
      </c>
      <c r="D42" s="124"/>
      <c r="E42" s="569"/>
      <c r="F42" s="1557">
        <f>[1]!F020DropPrevProgBudgFY</f>
        <v>0</v>
      </c>
      <c r="G42" s="1558"/>
      <c r="H42" s="1555"/>
      <c r="I42" s="1556"/>
      <c r="J42" s="608" t="s">
        <v>24</v>
      </c>
      <c r="L42" s="124"/>
      <c r="M42" s="156" t="s">
        <v>24</v>
      </c>
      <c r="O42" s="13" t="s">
        <v>431</v>
      </c>
      <c r="P42" s="124"/>
      <c r="Q42" s="124"/>
      <c r="R42" s="124"/>
      <c r="S42" s="571">
        <f>[1]!F9__OPEBBudgFY</f>
        <v>0</v>
      </c>
      <c r="T42" s="10"/>
      <c r="U42" s="471" t="s">
        <v>24</v>
      </c>
    </row>
    <row r="43" spans="1:21" ht="12" customHeight="1" thickBot="1">
      <c r="A43" s="569" t="s">
        <v>51</v>
      </c>
      <c r="B43" s="124"/>
      <c r="C43" s="124" t="s">
        <v>432</v>
      </c>
      <c r="D43" s="124"/>
      <c r="E43" s="569"/>
      <c r="F43" s="1553">
        <f>[1]!F020InstrImprProgBudgFY</f>
        <v>0</v>
      </c>
      <c r="G43" s="1554"/>
      <c r="H43" s="1551"/>
      <c r="I43" s="1552"/>
      <c r="J43" s="608" t="s">
        <v>51</v>
      </c>
      <c r="L43" s="124"/>
      <c r="M43" s="156" t="s">
        <v>51</v>
      </c>
      <c r="O43" s="18" t="s">
        <v>433</v>
      </c>
      <c r="P43" s="124"/>
      <c r="Q43" s="124"/>
      <c r="R43" s="124"/>
      <c r="S43" s="571">
        <f>[1]!F9__OtherBudgFY</f>
        <v>7000</v>
      </c>
      <c r="T43" s="10">
        <v>7000</v>
      </c>
      <c r="U43" s="471" t="s">
        <v>51</v>
      </c>
    </row>
    <row r="44" spans="1:21" ht="12" customHeight="1" thickBot="1">
      <c r="A44" s="569" t="s">
        <v>166</v>
      </c>
      <c r="B44" s="124"/>
      <c r="C44" s="124" t="s">
        <v>434</v>
      </c>
      <c r="D44" s="124"/>
      <c r="E44" s="569"/>
      <c r="F44" s="1547">
        <f>SUM(F40:F43)</f>
        <v>16000</v>
      </c>
      <c r="G44" s="1548"/>
      <c r="H44" s="1545">
        <f>SUM(H40:H43)</f>
        <v>16000</v>
      </c>
      <c r="I44" s="1546"/>
      <c r="J44" s="608" t="s">
        <v>166</v>
      </c>
      <c r="L44" s="124"/>
      <c r="N44" s="585"/>
      <c r="O44" s="124"/>
      <c r="P44" s="124"/>
      <c r="Q44" s="124"/>
      <c r="R44" s="124"/>
      <c r="U44" s="237"/>
    </row>
    <row r="45" spans="1:21" ht="12.75" customHeight="1" thickTop="1">
      <c r="B45" s="124"/>
      <c r="E45" s="569"/>
      <c r="L45" s="124"/>
      <c r="N45" s="131"/>
      <c r="S45" s="609"/>
      <c r="T45" s="124"/>
    </row>
    <row r="46" spans="1:21" ht="12.75" customHeight="1">
      <c r="A46" s="124"/>
      <c r="B46" s="124"/>
      <c r="C46" s="124"/>
      <c r="D46" s="124"/>
      <c r="E46" s="124"/>
      <c r="F46" s="124"/>
      <c r="G46" s="124"/>
      <c r="H46" s="124"/>
      <c r="I46" s="124"/>
      <c r="J46" s="124"/>
      <c r="K46" s="124"/>
      <c r="M46" s="235" t="s">
        <v>435</v>
      </c>
      <c r="N46" s="124" t="s">
        <v>436</v>
      </c>
    </row>
    <row r="47" spans="1:21" ht="12.75" customHeight="1">
      <c r="A47" s="152"/>
      <c r="B47" s="152"/>
      <c r="C47" s="152"/>
      <c r="D47" s="152"/>
      <c r="E47" s="152"/>
      <c r="F47" s="1560"/>
      <c r="G47" s="1559"/>
      <c r="H47" s="1560"/>
      <c r="I47" s="1559"/>
      <c r="K47" s="124"/>
      <c r="M47" s="235" t="s">
        <v>437</v>
      </c>
      <c r="N47" s="124" t="s">
        <v>438</v>
      </c>
      <c r="S47" s="610"/>
    </row>
    <row r="48" spans="1:21" ht="12.75" customHeight="1">
      <c r="A48" s="131"/>
      <c r="B48" s="131"/>
      <c r="C48" s="124"/>
      <c r="E48" s="124"/>
      <c r="F48" s="1561"/>
      <c r="G48" s="1559"/>
      <c r="H48" s="1495"/>
      <c r="I48" s="1559"/>
      <c r="J48" s="132"/>
      <c r="M48" s="235"/>
      <c r="N48" s="124"/>
    </row>
    <row r="49" spans="1:10">
      <c r="A49" s="611"/>
      <c r="B49" s="131"/>
      <c r="C49" s="124"/>
      <c r="E49" s="124"/>
      <c r="F49" s="1495"/>
      <c r="G49" s="1559"/>
      <c r="H49" s="1495"/>
      <c r="I49" s="1559"/>
      <c r="J49" s="132"/>
    </row>
  </sheetData>
  <sheetProtection sheet="1" formatCells="0" formatColumns="0" formatRows="0"/>
  <mergeCells count="57">
    <mergeCell ref="G33:H33"/>
    <mergeCell ref="G31:H31"/>
    <mergeCell ref="G26:H26"/>
    <mergeCell ref="G30:H30"/>
    <mergeCell ref="G28:H28"/>
    <mergeCell ref="A39:E39"/>
    <mergeCell ref="H41:I41"/>
    <mergeCell ref="G10:H10"/>
    <mergeCell ref="G11:H11"/>
    <mergeCell ref="G12:H12"/>
    <mergeCell ref="G18:H18"/>
    <mergeCell ref="H39:I39"/>
    <mergeCell ref="G20:H20"/>
    <mergeCell ref="H40:I40"/>
    <mergeCell ref="F40:G40"/>
    <mergeCell ref="G35:H35"/>
    <mergeCell ref="G36:H36"/>
    <mergeCell ref="F39:G39"/>
    <mergeCell ref="G29:H29"/>
    <mergeCell ref="G32:H32"/>
    <mergeCell ref="G37:H37"/>
    <mergeCell ref="P1:Q1"/>
    <mergeCell ref="F25:F26"/>
    <mergeCell ref="I25:I26"/>
    <mergeCell ref="J1:L1"/>
    <mergeCell ref="G3:H3"/>
    <mergeCell ref="F5:H5"/>
    <mergeCell ref="G6:H6"/>
    <mergeCell ref="D1:F1"/>
    <mergeCell ref="G19:H19"/>
    <mergeCell ref="G9:H9"/>
    <mergeCell ref="G21:H21"/>
    <mergeCell ref="G22:H22"/>
    <mergeCell ref="G23:H23"/>
    <mergeCell ref="G24:H24"/>
    <mergeCell ref="F49:G49"/>
    <mergeCell ref="H47:I47"/>
    <mergeCell ref="F47:G47"/>
    <mergeCell ref="H48:I48"/>
    <mergeCell ref="H49:I49"/>
    <mergeCell ref="F48:G48"/>
    <mergeCell ref="H44:I44"/>
    <mergeCell ref="F44:G44"/>
    <mergeCell ref="G7:H7"/>
    <mergeCell ref="G8:H8"/>
    <mergeCell ref="G16:H16"/>
    <mergeCell ref="G13:H13"/>
    <mergeCell ref="G14:H14"/>
    <mergeCell ref="G15:H15"/>
    <mergeCell ref="G27:H27"/>
    <mergeCell ref="G17:H17"/>
    <mergeCell ref="H43:I43"/>
    <mergeCell ref="F43:G43"/>
    <mergeCell ref="H42:I42"/>
    <mergeCell ref="G34:H34"/>
    <mergeCell ref="F41:G41"/>
    <mergeCell ref="F42:G42"/>
  </mergeCells>
  <hyperlinks>
    <hyperlink ref="A22" location="Page6l16" display="16."/>
    <hyperlink ref="M41" location="Page6l2" display="2."/>
    <hyperlink ref="M6" location="Page6l2and3" display="2."/>
    <hyperlink ref="M7" location="Page6l2and3" display="3."/>
    <hyperlink ref="M8" location="Page6l4" display="4."/>
    <hyperlink ref="A33" location="Page6F456" display="26."/>
    <hyperlink ref="M38" location="Page6l34" display="34."/>
    <hyperlink ref="M28" location="Page6l24" display="24."/>
    <hyperlink ref="M37" location="Page6l33" display="33."/>
    <hyperlink ref="A23" location="Page6l17" display="17."/>
    <hyperlink ref="M33" location="Page6l29" display="29."/>
    <hyperlink ref="M34" location="Page6l30" display="30."/>
    <hyperlink ref="A35" location="Page6l28" display="28."/>
  </hyperlinks>
  <printOptions horizontalCentered="1"/>
  <pageMargins left="0.25" right="0.25" top="0.25" bottom="0.25" header="0" footer="0.25"/>
  <pageSetup paperSize="5" scale="93" orientation="landscape" r:id="rId1"/>
  <headerFooter alignWithMargins="0">
    <oddFooter>&amp;L&amp;"Times New Roman,Bold"&amp;9Rev. 5/23 Arizona Department of Education and Auditor General&amp;C&amp;"Times New Roman,Regular"&amp;9&amp;D  &amp;T&amp;R&amp;"Times New Roman,Bold"&amp;9Page 6 of 8</oddFooter>
  </headerFooter>
  <ignoredErrors>
    <ignoredError sqref="M28" numberStoredAsText="1"/>
  </ignoredErrors>
  <drawing r:id="rId2"/>
</worksheet>
</file>

<file path=xl/worksheets/sheet9.xml><?xml version="1.0" encoding="utf-8"?>
<worksheet xmlns="http://schemas.openxmlformats.org/spreadsheetml/2006/main" xmlns:r="http://schemas.openxmlformats.org/officeDocument/2006/relationships">
  <dimension ref="A1:W74"/>
  <sheetViews>
    <sheetView showGridLines="0" topLeftCell="A32" workbookViewId="0">
      <selection activeCell="H46" sqref="H46"/>
    </sheetView>
  </sheetViews>
  <sheetFormatPr defaultColWidth="8" defaultRowHeight="11.4"/>
  <cols>
    <col min="1" max="2" width="2.90625" style="445" customWidth="1"/>
    <col min="3" max="3" width="6" style="445" customWidth="1"/>
    <col min="4" max="4" width="15.90625" style="445" customWidth="1"/>
    <col min="5" max="5" width="2.90625" style="445" customWidth="1"/>
    <col min="6" max="6" width="8.90625" style="445" customWidth="1"/>
    <col min="7" max="7" width="3.90625" style="445" customWidth="1"/>
    <col min="8" max="8" width="12.90625" style="445" customWidth="1"/>
    <col min="9" max="9" width="6.54296875" style="445" customWidth="1"/>
    <col min="10" max="10" width="11.453125" style="445" customWidth="1"/>
    <col min="11" max="11" width="3.90625" style="445" customWidth="1"/>
    <col min="12" max="12" width="2.453125" style="445" customWidth="1"/>
    <col min="13" max="13" width="11.453125" style="445" customWidth="1"/>
    <col min="14" max="14" width="8" style="445" customWidth="1"/>
    <col min="15" max="15" width="1.90625" style="445" customWidth="1"/>
    <col min="16" max="16" width="4.90625" style="445" customWidth="1"/>
    <col min="17" max="17" width="18" style="445" customWidth="1"/>
    <col min="18" max="18" width="10.90625" style="445" customWidth="1"/>
    <col min="19" max="19" width="8" style="445" customWidth="1"/>
    <col min="20" max="20" width="2" style="445" customWidth="1"/>
    <col min="21" max="21" width="8" style="445" customWidth="1"/>
    <col min="22" max="22" width="1.54296875" style="445" customWidth="1"/>
    <col min="23" max="23" width="1.453125" style="445" customWidth="1"/>
    <col min="24" max="25" width="8" style="445" customWidth="1"/>
    <col min="26" max="16384" width="8" style="445"/>
  </cols>
  <sheetData>
    <row r="1" spans="1:19" ht="15">
      <c r="A1" s="612"/>
      <c r="B1" s="613"/>
      <c r="C1" s="614" t="s">
        <v>71</v>
      </c>
      <c r="D1" s="1590" t="str">
        <f>DistrictName</f>
        <v>Valley Union High School District</v>
      </c>
      <c r="E1" s="1488"/>
      <c r="F1" s="615" t="s">
        <v>1</v>
      </c>
      <c r="G1" s="1590" t="str">
        <f>Cover!H1</f>
        <v>Cochise</v>
      </c>
      <c r="H1" s="1488"/>
      <c r="I1" s="1488"/>
      <c r="K1" s="426"/>
      <c r="L1" s="616" t="s">
        <v>439</v>
      </c>
      <c r="M1" s="617" t="str">
        <f>Cover!S1</f>
        <v>020522000</v>
      </c>
    </row>
    <row r="2" spans="1:19" ht="15" customHeight="1">
      <c r="A2" s="618"/>
      <c r="B2" s="613"/>
      <c r="C2" s="613"/>
      <c r="D2" s="613"/>
      <c r="E2" s="613"/>
      <c r="F2" s="613"/>
      <c r="G2" s="613"/>
      <c r="H2" s="613"/>
      <c r="I2" s="613"/>
      <c r="J2" s="613"/>
      <c r="K2" s="124"/>
      <c r="L2" s="619" t="s">
        <v>74</v>
      </c>
      <c r="M2" s="620" t="str">
        <f>Cover!C8</f>
        <v>Proposed</v>
      </c>
    </row>
    <row r="3" spans="1:19" ht="12" customHeight="1">
      <c r="A3" s="1592" t="s">
        <v>440</v>
      </c>
      <c r="B3" s="1593"/>
      <c r="C3" s="1593"/>
      <c r="D3" s="1593"/>
      <c r="E3" s="1593"/>
      <c r="F3" s="1593"/>
      <c r="G3" s="1593"/>
      <c r="H3" s="1593"/>
      <c r="I3" s="1593"/>
      <c r="J3" s="1593"/>
      <c r="K3" s="1593"/>
      <c r="L3" s="1593"/>
      <c r="M3" s="1593"/>
    </row>
    <row r="4" spans="1:19" ht="12" customHeight="1">
      <c r="A4" s="621" t="s">
        <v>441</v>
      </c>
      <c r="B4" s="622"/>
      <c r="C4" s="622"/>
      <c r="D4" s="622"/>
      <c r="E4" s="622"/>
      <c r="F4" s="623"/>
      <c r="G4" s="623"/>
      <c r="H4" s="623"/>
      <c r="I4" s="623"/>
      <c r="J4" s="623"/>
      <c r="K4" s="622"/>
      <c r="L4" s="622"/>
      <c r="M4" s="624"/>
    </row>
    <row r="5" spans="1:19" ht="3" customHeight="1">
      <c r="A5" s="621"/>
      <c r="B5" s="622"/>
      <c r="C5" s="622"/>
      <c r="D5" s="622"/>
      <c r="E5" s="622"/>
      <c r="F5" s="622"/>
      <c r="G5" s="622"/>
      <c r="H5" s="622"/>
      <c r="I5" s="622"/>
      <c r="J5" s="622"/>
      <c r="K5" s="622"/>
      <c r="L5" s="622"/>
      <c r="M5" s="624"/>
    </row>
    <row r="6" spans="1:19" ht="9.75" customHeight="1">
      <c r="A6" s="625"/>
      <c r="B6" s="613"/>
      <c r="C6" s="613"/>
      <c r="D6" s="613"/>
      <c r="E6" s="613"/>
      <c r="F6" s="613"/>
      <c r="G6" s="613"/>
      <c r="H6" s="613"/>
      <c r="I6" s="613"/>
      <c r="J6" s="626" t="s">
        <v>442</v>
      </c>
      <c r="K6" s="622"/>
      <c r="L6" s="622"/>
      <c r="M6" s="627" t="s">
        <v>443</v>
      </c>
    </row>
    <row r="7" spans="1:19" ht="10.5" customHeight="1">
      <c r="A7" s="628" t="s">
        <v>53</v>
      </c>
      <c r="B7" s="622"/>
      <c r="C7" s="622"/>
      <c r="D7" s="622"/>
      <c r="E7" s="622"/>
      <c r="F7" s="622"/>
      <c r="G7" s="622"/>
      <c r="H7" s="622"/>
      <c r="I7" s="622"/>
      <c r="J7" s="626" t="s">
        <v>444</v>
      </c>
      <c r="K7" s="629"/>
      <c r="L7" s="613"/>
      <c r="M7" s="627" t="s">
        <v>445</v>
      </c>
    </row>
    <row r="8" spans="1:19" ht="10.5" customHeight="1">
      <c r="A8" s="628"/>
      <c r="B8" s="622"/>
      <c r="C8" s="622"/>
      <c r="D8" s="622"/>
      <c r="E8" s="622"/>
      <c r="F8" s="622"/>
      <c r="G8" s="622"/>
      <c r="H8" s="622"/>
      <c r="I8" s="622"/>
      <c r="J8" s="630" t="s">
        <v>446</v>
      </c>
      <c r="K8" s="629"/>
      <c r="L8" s="613"/>
      <c r="M8" s="631" t="s">
        <v>447</v>
      </c>
    </row>
    <row r="9" spans="1:19" ht="11.25" customHeight="1">
      <c r="A9" s="243" t="s">
        <v>448</v>
      </c>
      <c r="B9" s="632" t="s">
        <v>449</v>
      </c>
      <c r="C9" s="633"/>
      <c r="D9" s="623"/>
      <c r="E9" s="623"/>
      <c r="F9" s="623"/>
      <c r="G9" s="622"/>
      <c r="H9" s="613"/>
      <c r="I9" s="622"/>
      <c r="J9" s="615"/>
      <c r="K9" s="629"/>
      <c r="L9" s="613"/>
      <c r="M9" s="426"/>
      <c r="N9" s="1611" t="str">
        <f>IF((H10-J10)&gt;=0,"","The RCL amount allocated to the M and O Fund exceeds the calculated RCL amount.")</f>
        <v/>
      </c>
      <c r="O9" s="1611"/>
      <c r="P9" s="1611"/>
      <c r="Q9" s="1611"/>
      <c r="R9" s="1611"/>
      <c r="S9" s="1611"/>
    </row>
    <row r="10" spans="1:19" ht="12.75" customHeight="1">
      <c r="A10" s="426"/>
      <c r="B10" s="634" t="s">
        <v>450</v>
      </c>
      <c r="C10" s="633"/>
      <c r="D10" s="635"/>
      <c r="E10" s="635"/>
      <c r="F10" s="635"/>
      <c r="G10" s="636" t="s">
        <v>451</v>
      </c>
      <c r="H10" s="167">
        <f>RCL</f>
        <v>1118016</v>
      </c>
      <c r="I10" s="637" t="s">
        <v>451</v>
      </c>
      <c r="J10" s="2">
        <v>1118016</v>
      </c>
      <c r="K10" s="639"/>
      <c r="L10" s="637" t="s">
        <v>451</v>
      </c>
      <c r="M10" s="640">
        <f>IF((H10-J10)&lt;0,"Error",H10-J10)</f>
        <v>0</v>
      </c>
      <c r="N10" s="1611"/>
      <c r="O10" s="1611"/>
      <c r="P10" s="1611"/>
      <c r="Q10" s="1611"/>
      <c r="R10" s="1611"/>
      <c r="S10" s="1611"/>
    </row>
    <row r="11" spans="1:19" ht="12" hidden="1">
      <c r="A11" s="641"/>
      <c r="B11" s="642"/>
      <c r="C11" s="643"/>
      <c r="D11" s="613"/>
      <c r="E11" s="613"/>
      <c r="F11" s="613"/>
      <c r="G11" s="637"/>
      <c r="H11" s="644"/>
      <c r="I11" s="639"/>
      <c r="J11" s="639"/>
      <c r="K11" s="639"/>
      <c r="L11" s="613"/>
      <c r="M11" s="639"/>
    </row>
    <row r="12" spans="1:19" ht="3" customHeight="1">
      <c r="A12" s="645"/>
      <c r="B12" s="642"/>
      <c r="C12" s="1597"/>
      <c r="D12" s="1597"/>
      <c r="E12" s="1597"/>
      <c r="F12" s="1597"/>
      <c r="G12" s="637"/>
      <c r="H12" s="425"/>
      <c r="I12" s="639"/>
      <c r="J12" s="639"/>
      <c r="K12" s="639"/>
      <c r="L12" s="613"/>
      <c r="M12" s="639"/>
    </row>
    <row r="13" spans="1:19" ht="13.5" hidden="1" customHeight="1">
      <c r="A13" s="646"/>
      <c r="B13" s="647"/>
      <c r="C13" s="643"/>
      <c r="D13" s="426"/>
      <c r="E13" s="613"/>
      <c r="F13" s="613"/>
      <c r="G13" s="637"/>
      <c r="H13" s="635"/>
    </row>
    <row r="14" spans="1:19" ht="25.5" customHeight="1">
      <c r="A14" s="648" t="s">
        <v>452</v>
      </c>
      <c r="B14" s="649" t="s">
        <v>453</v>
      </c>
      <c r="C14" s="1598" t="s">
        <v>454</v>
      </c>
      <c r="D14" s="1598"/>
      <c r="E14" s="1598"/>
      <c r="F14" s="1598"/>
      <c r="G14" s="636" t="s">
        <v>451</v>
      </c>
      <c r="H14" s="638">
        <f>PreAdjDAA</f>
        <v>64794</v>
      </c>
      <c r="I14" s="637"/>
      <c r="J14" s="425"/>
      <c r="K14" s="639"/>
      <c r="L14" s="613"/>
      <c r="M14" s="425"/>
    </row>
    <row r="15" spans="1:19" ht="12.75" customHeight="1">
      <c r="A15" s="645"/>
      <c r="B15" s="649" t="s">
        <v>455</v>
      </c>
      <c r="C15" s="1596" t="s">
        <v>456</v>
      </c>
      <c r="D15" s="1596"/>
      <c r="E15" s="1596"/>
      <c r="F15" s="1596"/>
      <c r="G15" s="636" t="s">
        <v>451</v>
      </c>
      <c r="H15" s="638">
        <f>TotalDAAAdj</f>
        <v>0</v>
      </c>
      <c r="I15" s="637"/>
      <c r="J15" s="425"/>
      <c r="K15" s="639"/>
      <c r="L15" s="613"/>
      <c r="M15" s="425"/>
      <c r="N15" s="1611" t="str">
        <f>IF((H17-J17)&gt;=0,"","The DAA amount allocated to the M and O Fund exceeds the calculated DAA amount.")</f>
        <v/>
      </c>
      <c r="O15" s="1611"/>
      <c r="P15" s="1611"/>
      <c r="Q15" s="1611"/>
      <c r="R15" s="1611"/>
      <c r="S15" s="1611"/>
    </row>
    <row r="16" spans="1:19" ht="27" hidden="1" customHeight="1">
      <c r="A16" s="645"/>
      <c r="B16" s="652"/>
      <c r="C16" s="1598"/>
      <c r="D16" s="1598"/>
      <c r="E16" s="1598"/>
      <c r="F16" s="1598"/>
      <c r="G16" s="637"/>
      <c r="H16" s="653"/>
      <c r="I16" s="637"/>
      <c r="J16" s="425"/>
      <c r="K16" s="639"/>
      <c r="L16" s="613"/>
      <c r="M16" s="425"/>
      <c r="N16" s="1611"/>
      <c r="O16" s="1611"/>
      <c r="P16" s="1611"/>
      <c r="Q16" s="1611"/>
      <c r="R16" s="1611"/>
      <c r="S16" s="1611"/>
    </row>
    <row r="17" spans="1:21" ht="12.75" customHeight="1">
      <c r="A17" s="641"/>
      <c r="B17" s="654" t="s">
        <v>457</v>
      </c>
      <c r="C17" s="275" t="s">
        <v>458</v>
      </c>
      <c r="D17" s="635"/>
      <c r="E17" s="613"/>
      <c r="F17" s="613"/>
      <c r="G17" s="637" t="s">
        <v>451</v>
      </c>
      <c r="H17" s="655">
        <f>H14+H15</f>
        <v>64794</v>
      </c>
      <c r="I17" s="637"/>
      <c r="J17" s="115">
        <v>64794</v>
      </c>
      <c r="K17" s="639"/>
      <c r="L17" s="613"/>
      <c r="M17" s="656">
        <f>IF((H17-J17)&lt;0,"Error",H17-J17)</f>
        <v>0</v>
      </c>
      <c r="N17" s="1611"/>
      <c r="O17" s="1611"/>
      <c r="P17" s="1611"/>
      <c r="Q17" s="1611"/>
      <c r="R17" s="1611"/>
      <c r="S17" s="1611"/>
    </row>
    <row r="18" spans="1:21" ht="44.25" customHeight="1">
      <c r="A18" s="657" t="s">
        <v>459</v>
      </c>
      <c r="B18" s="1612" t="s">
        <v>460</v>
      </c>
      <c r="C18" s="1612"/>
      <c r="D18" s="1612"/>
      <c r="E18" s="1612"/>
      <c r="F18" s="1612"/>
      <c r="G18" s="1612"/>
      <c r="H18" s="1612"/>
      <c r="I18" s="1612"/>
      <c r="J18" s="644"/>
      <c r="K18" s="639"/>
      <c r="L18" s="613"/>
      <c r="M18" s="639"/>
    </row>
    <row r="19" spans="1:21" ht="12">
      <c r="A19" s="637"/>
      <c r="B19" s="658" t="s">
        <v>453</v>
      </c>
      <c r="C19" s="635" t="s">
        <v>461</v>
      </c>
      <c r="D19" s="635"/>
      <c r="E19" s="613"/>
      <c r="F19" s="613"/>
      <c r="G19" s="613"/>
      <c r="H19" s="613"/>
      <c r="I19" s="637" t="s">
        <v>53</v>
      </c>
      <c r="J19" s="118"/>
      <c r="K19" s="639"/>
      <c r="L19" s="613"/>
      <c r="M19" s="639"/>
    </row>
    <row r="20" spans="1:21" ht="12" customHeight="1">
      <c r="A20" s="645"/>
      <c r="B20" s="658" t="s">
        <v>455</v>
      </c>
      <c r="C20" s="635" t="s">
        <v>307</v>
      </c>
      <c r="D20" s="635"/>
      <c r="E20" s="613"/>
      <c r="F20" s="613"/>
      <c r="G20" s="613"/>
      <c r="H20" s="613"/>
      <c r="I20" s="637"/>
      <c r="J20" s="659"/>
      <c r="K20" s="639"/>
      <c r="L20" s="613"/>
      <c r="M20" s="118"/>
    </row>
    <row r="21" spans="1:21" ht="12" customHeight="1">
      <c r="A21" s="637"/>
      <c r="B21" s="141" t="s">
        <v>457</v>
      </c>
      <c r="C21" s="635" t="s">
        <v>462</v>
      </c>
      <c r="D21" s="635"/>
      <c r="E21" s="613"/>
      <c r="F21" s="613"/>
      <c r="G21" s="613"/>
      <c r="H21" s="613"/>
      <c r="I21" s="637" t="s">
        <v>53</v>
      </c>
      <c r="J21" s="118"/>
      <c r="K21" s="639"/>
      <c r="L21" s="643"/>
      <c r="M21" s="3"/>
    </row>
    <row r="22" spans="1:21" ht="12" customHeight="1">
      <c r="A22" s="660" t="s">
        <v>463</v>
      </c>
      <c r="B22" s="1594" t="s">
        <v>464</v>
      </c>
      <c r="C22" s="1595"/>
      <c r="D22" s="1595"/>
      <c r="E22" s="1595"/>
      <c r="F22" s="1595"/>
      <c r="G22" s="1595"/>
      <c r="H22" s="1595"/>
      <c r="I22" s="1591"/>
      <c r="J22" s="644"/>
      <c r="K22" s="639"/>
      <c r="L22" s="613"/>
      <c r="M22" s="659"/>
      <c r="O22" s="1615" t="str">
        <f>IF(AND('Data Entry'!J22&gt;0,OR(AND(UnweightedStudCntK8PY&gt;0,UnweightedStudCntK8PY&lt;=125),AND(UnweightedStudCnt912PY&gt;0,UnweightedStudCnt912PY&lt;=100)),(AND(SSA_MO=0,SSA_UCO=0))),"Reported FY 2022 ADM for K-8 and/or 9-12 is eligible for a small school adjustment. Amounts cannot be added or increased on line 4 after budget adoption.","")</f>
        <v/>
      </c>
      <c r="P22" s="1615"/>
      <c r="Q22" s="1615"/>
      <c r="R22" s="1615"/>
      <c r="S22" s="1615"/>
      <c r="T22" s="1615"/>
      <c r="U22" s="1615"/>
    </row>
    <row r="23" spans="1:21" ht="24" customHeight="1">
      <c r="A23" s="646"/>
      <c r="B23" s="1595"/>
      <c r="C23" s="1595"/>
      <c r="D23" s="1595"/>
      <c r="E23" s="1595"/>
      <c r="F23" s="1595"/>
      <c r="G23" s="1595"/>
      <c r="H23" s="1595"/>
      <c r="I23" s="1591"/>
      <c r="J23" s="2">
        <v>355000</v>
      </c>
      <c r="K23" s="639"/>
      <c r="L23" s="613"/>
      <c r="M23" s="3">
        <v>0</v>
      </c>
      <c r="O23" s="1615"/>
      <c r="P23" s="1615"/>
      <c r="Q23" s="1615"/>
      <c r="R23" s="1615"/>
      <c r="S23" s="1615"/>
      <c r="T23" s="1615"/>
      <c r="U23" s="1615"/>
    </row>
    <row r="24" spans="1:21" s="664" customFormat="1" ht="12" customHeight="1">
      <c r="A24" s="657" t="s">
        <v>465</v>
      </c>
      <c r="B24" s="661" t="s">
        <v>466</v>
      </c>
      <c r="C24" s="662"/>
      <c r="D24" s="662"/>
      <c r="E24" s="662"/>
      <c r="F24" s="662"/>
      <c r="G24" s="662"/>
      <c r="H24" s="662"/>
      <c r="I24" s="662"/>
      <c r="J24" s="662"/>
      <c r="K24" s="663"/>
      <c r="L24" s="662"/>
      <c r="M24" s="663"/>
    </row>
    <row r="25" spans="1:21" ht="13.5" customHeight="1">
      <c r="A25" s="665"/>
      <c r="B25" s="666" t="s">
        <v>1341</v>
      </c>
      <c r="C25" s="635"/>
      <c r="D25" s="635"/>
      <c r="E25" s="635"/>
      <c r="F25" s="635"/>
      <c r="G25" s="635"/>
      <c r="H25" s="613"/>
      <c r="I25" s="613"/>
      <c r="J25" s="613"/>
      <c r="K25" s="639"/>
      <c r="L25" s="613"/>
      <c r="M25" s="639"/>
    </row>
    <row r="26" spans="1:21" ht="12">
      <c r="A26" s="665"/>
      <c r="B26" s="613" t="s">
        <v>453</v>
      </c>
      <c r="C26" s="635" t="s">
        <v>467</v>
      </c>
      <c r="D26" s="635"/>
      <c r="E26" s="613"/>
      <c r="F26" s="613"/>
      <c r="G26" s="613"/>
      <c r="H26" s="613"/>
      <c r="I26" s="637" t="s">
        <v>53</v>
      </c>
      <c r="J26" s="118"/>
      <c r="K26" s="639"/>
      <c r="L26" s="613"/>
      <c r="M26" s="118"/>
    </row>
    <row r="27" spans="1:21" ht="12" customHeight="1">
      <c r="A27" s="665"/>
      <c r="B27" s="613" t="s">
        <v>455</v>
      </c>
      <c r="C27" s="613" t="s">
        <v>468</v>
      </c>
      <c r="D27" s="613"/>
      <c r="E27" s="613"/>
      <c r="F27" s="613"/>
      <c r="G27" s="613"/>
      <c r="H27" s="613"/>
      <c r="I27" s="637" t="s">
        <v>53</v>
      </c>
      <c r="J27" s="2">
        <v>318624</v>
      </c>
      <c r="K27" s="639"/>
      <c r="L27" s="613"/>
      <c r="M27" s="3"/>
    </row>
    <row r="28" spans="1:21" ht="12" customHeight="1">
      <c r="A28" s="665"/>
      <c r="B28" s="613" t="s">
        <v>457</v>
      </c>
      <c r="C28" s="613" t="s">
        <v>469</v>
      </c>
      <c r="D28" s="635"/>
      <c r="E28" s="635"/>
      <c r="F28" s="613"/>
      <c r="G28" s="613"/>
      <c r="H28" s="613"/>
      <c r="I28" s="637" t="s">
        <v>53</v>
      </c>
      <c r="J28" s="2"/>
      <c r="K28" s="639"/>
      <c r="L28" s="613"/>
      <c r="M28" s="3"/>
    </row>
    <row r="29" spans="1:21" ht="12" customHeight="1">
      <c r="A29" s="665"/>
      <c r="B29" s="658" t="s">
        <v>470</v>
      </c>
      <c r="C29" s="643" t="s">
        <v>471</v>
      </c>
      <c r="D29" s="613"/>
      <c r="E29" s="613"/>
      <c r="F29" s="613"/>
      <c r="G29" s="613"/>
      <c r="H29" s="613"/>
      <c r="I29" s="637" t="s">
        <v>53</v>
      </c>
      <c r="J29" s="118"/>
      <c r="K29" s="639"/>
      <c r="L29" s="613"/>
      <c r="M29" s="118"/>
    </row>
    <row r="30" spans="1:21" ht="14.25" customHeight="1">
      <c r="A30" s="660" t="s">
        <v>472</v>
      </c>
      <c r="B30" s="635" t="s">
        <v>473</v>
      </c>
      <c r="C30" s="635"/>
      <c r="D30" s="635"/>
      <c r="E30" s="635"/>
      <c r="F30" s="635"/>
      <c r="G30" s="635"/>
      <c r="H30" s="635"/>
      <c r="I30" s="635"/>
      <c r="J30" s="2"/>
      <c r="K30" s="639"/>
      <c r="L30" s="613"/>
      <c r="M30" s="3"/>
    </row>
    <row r="31" spans="1:21" ht="14.25" customHeight="1">
      <c r="A31" s="660" t="s">
        <v>474</v>
      </c>
      <c r="B31" s="667" t="s">
        <v>475</v>
      </c>
      <c r="C31" s="635"/>
      <c r="D31" s="635"/>
      <c r="E31" s="635"/>
      <c r="F31" s="635"/>
      <c r="G31" s="635"/>
      <c r="H31" s="635"/>
      <c r="I31" s="613"/>
      <c r="J31" s="644"/>
      <c r="K31" s="639"/>
      <c r="L31" s="613"/>
      <c r="M31" s="1616"/>
    </row>
    <row r="32" spans="1:21" ht="24" customHeight="1">
      <c r="A32" s="665"/>
      <c r="B32" s="1605" t="s">
        <v>476</v>
      </c>
      <c r="C32" s="1605"/>
      <c r="D32" s="1605"/>
      <c r="E32" s="1605"/>
      <c r="F32" s="1605"/>
      <c r="G32" s="1605"/>
      <c r="H32" s="1605"/>
      <c r="I32" s="637"/>
      <c r="J32" s="118"/>
      <c r="K32" s="639"/>
      <c r="L32" s="613"/>
      <c r="M32" s="1495"/>
    </row>
    <row r="33" spans="1:23" ht="12" customHeight="1">
      <c r="A33" s="156" t="s">
        <v>172</v>
      </c>
      <c r="B33" s="613" t="s">
        <v>477</v>
      </c>
      <c r="C33" s="613"/>
      <c r="D33" s="635"/>
      <c r="E33" s="613"/>
      <c r="F33" s="613"/>
      <c r="G33" s="613"/>
      <c r="H33" s="613"/>
      <c r="I33" s="613"/>
      <c r="J33" s="644"/>
      <c r="K33" s="639"/>
      <c r="L33" s="613"/>
      <c r="M33" s="639"/>
      <c r="O33" s="668"/>
      <c r="P33" s="633"/>
      <c r="Q33" s="633"/>
      <c r="R33" s="633"/>
      <c r="S33" s="633"/>
      <c r="T33" s="633"/>
      <c r="U33" s="633"/>
      <c r="V33" s="633"/>
    </row>
    <row r="34" spans="1:23" ht="13.5" customHeight="1">
      <c r="A34" s="665"/>
      <c r="B34" s="658" t="s">
        <v>453</v>
      </c>
      <c r="C34" s="1604" t="s">
        <v>478</v>
      </c>
      <c r="D34" s="1604"/>
      <c r="E34" s="1604"/>
      <c r="F34" s="1604"/>
      <c r="G34" s="1604"/>
      <c r="H34" s="1604"/>
      <c r="I34" s="1604"/>
      <c r="J34" s="118"/>
      <c r="K34" s="639"/>
      <c r="L34" s="613"/>
      <c r="M34" s="118"/>
      <c r="O34" s="670"/>
      <c r="P34" s="157"/>
      <c r="Q34" s="157"/>
      <c r="R34" s="157"/>
      <c r="S34" s="157"/>
      <c r="T34" s="157"/>
      <c r="U34" s="352"/>
      <c r="V34" s="352"/>
      <c r="W34" s="352"/>
    </row>
    <row r="35" spans="1:23" ht="26.25" customHeight="1">
      <c r="A35" s="645" t="s">
        <v>479</v>
      </c>
      <c r="B35" s="658" t="s">
        <v>455</v>
      </c>
      <c r="C35" s="1605" t="s">
        <v>480</v>
      </c>
      <c r="D35" s="1605"/>
      <c r="E35" s="1605"/>
      <c r="F35" s="1605"/>
      <c r="G35" s="1605"/>
      <c r="H35" s="1605"/>
      <c r="I35" s="671" t="s">
        <v>53</v>
      </c>
      <c r="J35" s="655">
        <f>Calculations!R105</f>
        <v>141041</v>
      </c>
      <c r="K35" s="639"/>
      <c r="L35" s="613"/>
      <c r="M35" s="639"/>
      <c r="O35" s="352"/>
      <c r="P35" s="352"/>
      <c r="Q35" s="352"/>
      <c r="R35" s="352"/>
      <c r="S35" s="352"/>
      <c r="T35" s="352"/>
      <c r="U35" s="352"/>
      <c r="V35" s="352"/>
      <c r="W35" s="352"/>
    </row>
    <row r="36" spans="1:23" ht="14.25" customHeight="1" thickBot="1">
      <c r="A36" s="665"/>
      <c r="B36" s="658" t="s">
        <v>457</v>
      </c>
      <c r="C36" s="635" t="s">
        <v>481</v>
      </c>
      <c r="D36" s="635"/>
      <c r="E36" s="635"/>
      <c r="F36" s="635"/>
      <c r="G36" s="635"/>
      <c r="H36" s="635"/>
      <c r="I36" s="671" t="s">
        <v>53</v>
      </c>
      <c r="J36" s="2"/>
      <c r="K36" s="639"/>
      <c r="L36" s="613"/>
      <c r="M36" s="117"/>
      <c r="O36" s="283"/>
      <c r="P36" s="124"/>
      <c r="Q36" s="124"/>
      <c r="R36" s="124"/>
      <c r="S36" s="124"/>
      <c r="T36" s="124"/>
      <c r="U36" s="124"/>
      <c r="V36" s="633"/>
    </row>
    <row r="37" spans="1:23" ht="14.25" customHeight="1" thickBot="1">
      <c r="A37" s="665"/>
      <c r="B37" s="658" t="s">
        <v>470</v>
      </c>
      <c r="C37" s="667" t="s">
        <v>482</v>
      </c>
      <c r="D37" s="635"/>
      <c r="E37" s="635"/>
      <c r="F37" s="635"/>
      <c r="G37" s="635"/>
      <c r="H37" s="635"/>
      <c r="I37" s="671"/>
      <c r="J37" s="644"/>
      <c r="K37" s="639"/>
      <c r="L37" s="613"/>
      <c r="M37" s="672"/>
      <c r="N37" s="1614" t="str">
        <f>IF(AND(OR(J38&gt;0,M38&gt;0),T37&lt;&gt;"X"),"Districts with amounts on this line should have a FY 2022 Request Letter on file with ADE. Use the check box in T39 after verifying that ADE has the letter.","")</f>
        <v/>
      </c>
      <c r="O37" s="1614"/>
      <c r="P37" s="1614"/>
      <c r="Q37" s="1614"/>
      <c r="R37" s="1614"/>
      <c r="S37" s="1614"/>
      <c r="T37" s="68"/>
    </row>
    <row r="38" spans="1:23" ht="12.75" customHeight="1">
      <c r="A38" s="665"/>
      <c r="B38" s="635"/>
      <c r="C38" s="673" t="s">
        <v>1354</v>
      </c>
      <c r="D38" s="674"/>
      <c r="E38" s="635"/>
      <c r="F38" s="635"/>
      <c r="G38" s="635"/>
      <c r="H38" s="635"/>
      <c r="I38" s="671"/>
      <c r="J38" s="118"/>
      <c r="K38" s="639"/>
      <c r="L38" s="613"/>
      <c r="M38" s="118"/>
      <c r="N38" s="1614"/>
      <c r="O38" s="1614"/>
      <c r="P38" s="1614"/>
      <c r="Q38" s="1614"/>
      <c r="R38" s="1614"/>
      <c r="S38" s="1614"/>
      <c r="T38" s="429"/>
    </row>
    <row r="39" spans="1:23" ht="14.25" customHeight="1">
      <c r="A39" s="645" t="s">
        <v>479</v>
      </c>
      <c r="B39" s="658" t="s">
        <v>483</v>
      </c>
      <c r="C39" s="1599" t="s">
        <v>484</v>
      </c>
      <c r="D39" s="1599"/>
      <c r="E39" s="1599"/>
      <c r="F39" s="1599"/>
      <c r="G39" s="1599"/>
      <c r="H39" s="1599"/>
      <c r="I39" s="1599"/>
      <c r="J39" s="118"/>
      <c r="K39" s="639"/>
      <c r="L39" s="613"/>
      <c r="M39" s="118"/>
      <c r="O39" s="676"/>
      <c r="P39" s="124"/>
      <c r="Q39" s="124"/>
      <c r="R39" s="124"/>
      <c r="S39" s="131"/>
      <c r="T39" s="429"/>
    </row>
    <row r="40" spans="1:23" ht="13.5" customHeight="1">
      <c r="A40" s="641" t="s">
        <v>479</v>
      </c>
      <c r="B40" s="658" t="s">
        <v>485</v>
      </c>
      <c r="C40" s="632" t="s">
        <v>486</v>
      </c>
      <c r="D40" s="667"/>
      <c r="E40" s="667"/>
      <c r="F40" s="667"/>
      <c r="G40" s="667"/>
      <c r="H40" s="667"/>
      <c r="I40" s="677"/>
      <c r="J40" s="1602">
        <f>Calculations!R101</f>
        <v>0</v>
      </c>
      <c r="K40" s="639"/>
      <c r="L40" s="613"/>
      <c r="M40" s="639"/>
      <c r="O40" s="283"/>
      <c r="P40" s="124"/>
      <c r="Q40" s="124"/>
      <c r="R40" s="124"/>
      <c r="S40" s="124"/>
      <c r="T40" s="124"/>
    </row>
    <row r="41" spans="1:23" ht="13.5" customHeight="1">
      <c r="A41" s="645"/>
      <c r="B41" s="674"/>
      <c r="C41" s="678" t="s">
        <v>487</v>
      </c>
      <c r="D41" s="669"/>
      <c r="E41" s="669"/>
      <c r="F41" s="669"/>
      <c r="G41" s="669"/>
      <c r="H41" s="669"/>
      <c r="I41" s="677"/>
      <c r="J41" s="1603"/>
      <c r="K41" s="639"/>
      <c r="L41" s="613"/>
      <c r="M41" s="639"/>
      <c r="O41" s="633"/>
      <c r="P41" s="447"/>
      <c r="Q41" s="124"/>
      <c r="R41" s="124"/>
      <c r="S41" s="124"/>
      <c r="T41" s="124"/>
    </row>
    <row r="42" spans="1:23" ht="12.75" customHeight="1">
      <c r="A42" s="679"/>
      <c r="B42" s="658" t="s">
        <v>488</v>
      </c>
      <c r="C42" s="678" t="s">
        <v>489</v>
      </c>
      <c r="D42" s="669"/>
      <c r="E42" s="669"/>
      <c r="F42" s="669"/>
      <c r="G42" s="669"/>
      <c r="H42" s="669"/>
      <c r="I42" s="677"/>
      <c r="J42" s="35"/>
      <c r="K42" s="680"/>
      <c r="L42" s="613"/>
      <c r="M42" s="639"/>
      <c r="O42" s="668"/>
      <c r="P42" s="668"/>
      <c r="Q42" s="124"/>
      <c r="R42" s="124"/>
      <c r="S42" s="124"/>
      <c r="T42" s="124"/>
    </row>
    <row r="43" spans="1:23" ht="12.75" customHeight="1">
      <c r="A43" s="681" t="s">
        <v>479</v>
      </c>
      <c r="B43" s="658" t="s">
        <v>490</v>
      </c>
      <c r="C43" s="1610" t="s">
        <v>491</v>
      </c>
      <c r="D43" s="1610"/>
      <c r="E43" s="1610"/>
      <c r="F43" s="1610"/>
      <c r="G43" s="1610"/>
      <c r="H43" s="1610"/>
      <c r="I43" s="1610"/>
      <c r="J43" s="44"/>
      <c r="K43" s="639"/>
      <c r="L43" s="613"/>
      <c r="M43" s="639"/>
    </row>
    <row r="44" spans="1:23" ht="24" customHeight="1">
      <c r="A44" s="682" t="s">
        <v>492</v>
      </c>
      <c r="B44" s="1598" t="s">
        <v>493</v>
      </c>
      <c r="C44" s="1598"/>
      <c r="D44" s="1598"/>
      <c r="E44" s="1598"/>
      <c r="F44" s="1598"/>
      <c r="G44" s="1598"/>
      <c r="H44" s="1598"/>
      <c r="I44" s="1598"/>
      <c r="J44" s="683"/>
      <c r="K44" s="639"/>
      <c r="L44" s="613"/>
      <c r="M44" s="639"/>
    </row>
    <row r="45" spans="1:23" ht="12.75" customHeight="1">
      <c r="A45" s="684"/>
      <c r="B45" s="650" t="s">
        <v>453</v>
      </c>
      <c r="C45" s="685" t="s">
        <v>494</v>
      </c>
      <c r="D45" s="650"/>
      <c r="E45" s="650"/>
      <c r="F45" s="650"/>
      <c r="G45" s="650"/>
      <c r="H45" s="650"/>
      <c r="I45" s="686"/>
      <c r="J45" s="687"/>
      <c r="K45" s="639"/>
      <c r="L45" s="613"/>
      <c r="M45" s="639"/>
    </row>
    <row r="46" spans="1:23" ht="12.75" customHeight="1">
      <c r="A46" s="684"/>
      <c r="B46" s="650"/>
      <c r="C46" s="1613"/>
      <c r="D46" s="1613"/>
      <c r="E46" s="1613"/>
      <c r="F46" s="1613"/>
      <c r="G46" s="1613"/>
      <c r="H46" s="650"/>
      <c r="I46" s="686"/>
      <c r="J46" s="49"/>
      <c r="K46" s="613"/>
      <c r="L46" s="639"/>
    </row>
    <row r="47" spans="1:23" ht="12.75" customHeight="1">
      <c r="A47" s="684"/>
      <c r="B47" s="650" t="s">
        <v>455</v>
      </c>
      <c r="C47" s="685" t="s">
        <v>495</v>
      </c>
      <c r="D47" s="685"/>
      <c r="E47" s="685"/>
      <c r="F47" s="685"/>
      <c r="G47" s="650"/>
      <c r="H47" s="650"/>
      <c r="I47" s="686"/>
      <c r="J47" s="50"/>
      <c r="K47" s="639"/>
      <c r="L47" s="613"/>
      <c r="M47" s="639"/>
    </row>
    <row r="48" spans="1:23" ht="12.75" customHeight="1">
      <c r="A48" s="684"/>
      <c r="B48" s="689" t="s">
        <v>457</v>
      </c>
      <c r="C48" s="685" t="s">
        <v>496</v>
      </c>
      <c r="D48" s="685"/>
      <c r="E48" s="685"/>
      <c r="F48" s="685"/>
      <c r="G48" s="685"/>
      <c r="H48" s="650"/>
      <c r="I48" s="686"/>
      <c r="J48" s="50"/>
      <c r="K48" s="639"/>
      <c r="L48" s="613"/>
      <c r="M48" s="639"/>
    </row>
    <row r="49" spans="1:23" ht="12" hidden="1">
      <c r="A49" s="684"/>
      <c r="B49" s="650"/>
      <c r="C49" s="685"/>
      <c r="D49" s="685"/>
      <c r="E49" s="650"/>
      <c r="F49" s="650"/>
      <c r="G49" s="650"/>
      <c r="H49" s="650"/>
      <c r="I49" s="686"/>
      <c r="J49" s="64"/>
      <c r="K49" s="613"/>
      <c r="L49" s="639"/>
    </row>
    <row r="50" spans="1:23" ht="12.75" customHeight="1">
      <c r="A50" s="684"/>
      <c r="B50" s="691" t="s">
        <v>470</v>
      </c>
      <c r="C50" s="685" t="s">
        <v>497</v>
      </c>
      <c r="D50" s="685"/>
      <c r="E50" s="685"/>
      <c r="F50" s="685"/>
      <c r="G50" s="650"/>
      <c r="H50" s="650"/>
      <c r="I50" s="686"/>
      <c r="J50" s="63"/>
      <c r="K50" s="639"/>
      <c r="L50" s="613"/>
      <c r="M50" s="639"/>
    </row>
    <row r="51" spans="1:23" ht="12.75" customHeight="1">
      <c r="A51" s="684"/>
      <c r="B51" s="651" t="s">
        <v>483</v>
      </c>
      <c r="C51" s="685" t="s">
        <v>498</v>
      </c>
      <c r="D51" s="650"/>
      <c r="E51" s="685"/>
      <c r="F51" s="685"/>
      <c r="G51" s="650"/>
      <c r="H51" s="650"/>
      <c r="I51" s="686"/>
      <c r="J51" s="50"/>
      <c r="K51" s="613"/>
      <c r="L51" s="639"/>
    </row>
    <row r="52" spans="1:23" ht="12.75" customHeight="1">
      <c r="A52" s="684"/>
      <c r="B52" s="651" t="s">
        <v>485</v>
      </c>
      <c r="C52" s="685" t="s">
        <v>499</v>
      </c>
      <c r="D52" s="1607"/>
      <c r="E52" s="1607"/>
      <c r="F52" s="1607"/>
      <c r="G52" s="1607"/>
      <c r="H52" s="685"/>
      <c r="I52" s="686"/>
      <c r="J52" s="50"/>
      <c r="K52" s="639"/>
      <c r="L52" s="613"/>
      <c r="M52" s="639"/>
    </row>
    <row r="53" spans="1:23" ht="12.75" customHeight="1">
      <c r="A53" s="682" t="s">
        <v>500</v>
      </c>
      <c r="B53" s="685" t="s">
        <v>501</v>
      </c>
      <c r="C53" s="685"/>
      <c r="D53" s="685"/>
      <c r="E53" s="685"/>
      <c r="F53" s="685"/>
      <c r="G53" s="685"/>
      <c r="H53" s="685"/>
      <c r="I53" s="686"/>
      <c r="J53" s="50">
        <v>10000</v>
      </c>
      <c r="K53" s="639"/>
      <c r="L53" s="613"/>
      <c r="M53" s="54"/>
    </row>
    <row r="54" spans="1:23" ht="12.75" customHeight="1">
      <c r="A54" s="682" t="s">
        <v>502</v>
      </c>
      <c r="B54" s="692" t="s">
        <v>503</v>
      </c>
      <c r="C54" s="692"/>
      <c r="D54" s="692"/>
      <c r="E54" s="692"/>
      <c r="F54" s="692"/>
      <c r="G54" s="692"/>
      <c r="H54" s="692"/>
      <c r="I54" s="686"/>
      <c r="J54" s="50"/>
      <c r="K54" s="639"/>
      <c r="L54" s="613"/>
      <c r="M54" s="54"/>
    </row>
    <row r="55" spans="1:23" ht="14.25" customHeight="1">
      <c r="A55" s="693" t="s">
        <v>180</v>
      </c>
      <c r="B55" s="694" t="s">
        <v>504</v>
      </c>
      <c r="C55" s="635"/>
      <c r="D55" s="613"/>
      <c r="E55" s="613"/>
      <c r="F55" s="613"/>
      <c r="G55" s="613"/>
      <c r="H55" s="613"/>
      <c r="I55" s="639"/>
      <c r="J55" s="1608">
        <f>SUM(J10:J43)+SUM(J46:J54)</f>
        <v>2007475</v>
      </c>
      <c r="K55" s="639"/>
      <c r="L55" s="613" t="s">
        <v>53</v>
      </c>
      <c r="M55" s="639"/>
      <c r="O55" s="695"/>
      <c r="P55" s="670"/>
      <c r="Q55" s="670"/>
      <c r="R55" s="670"/>
      <c r="S55" s="670"/>
      <c r="T55" s="670"/>
    </row>
    <row r="56" spans="1:23" ht="14.25" customHeight="1" thickBot="1">
      <c r="A56" s="641"/>
      <c r="B56" s="643" t="s">
        <v>505</v>
      </c>
      <c r="C56" s="613"/>
      <c r="D56" s="635"/>
      <c r="E56" s="613"/>
      <c r="F56" s="613"/>
      <c r="G56" s="613"/>
      <c r="H56" s="613"/>
      <c r="I56" s="637" t="s">
        <v>451</v>
      </c>
      <c r="J56" s="1609"/>
      <c r="K56" s="639"/>
      <c r="L56" s="613"/>
      <c r="M56" s="639"/>
      <c r="O56" s="124"/>
      <c r="P56" s="124"/>
      <c r="Q56" s="124"/>
      <c r="R56" s="696"/>
      <c r="S56" s="633"/>
      <c r="T56" s="633"/>
      <c r="U56" s="633"/>
      <c r="V56" s="633"/>
    </row>
    <row r="57" spans="1:23" ht="12.75" customHeight="1" thickTop="1">
      <c r="A57" s="697" t="s">
        <v>182</v>
      </c>
      <c r="B57" s="667" t="s">
        <v>506</v>
      </c>
      <c r="C57" s="633"/>
      <c r="D57" s="633"/>
      <c r="E57" s="633"/>
      <c r="F57" s="633"/>
      <c r="G57" s="633"/>
      <c r="H57" s="633"/>
      <c r="J57" s="639"/>
      <c r="K57" s="639"/>
      <c r="L57" s="613"/>
      <c r="M57" s="1600">
        <f>SUM(M10:M39)+M53+M54</f>
        <v>0</v>
      </c>
      <c r="O57" s="157"/>
      <c r="P57" s="157"/>
      <c r="Q57" s="157"/>
      <c r="R57" s="157"/>
      <c r="S57" s="157"/>
      <c r="T57" s="157"/>
      <c r="U57" s="670"/>
      <c r="V57" s="698"/>
    </row>
    <row r="58" spans="1:23" ht="12.75" customHeight="1" thickBot="1">
      <c r="A58" s="699"/>
      <c r="B58" s="124" t="s">
        <v>507</v>
      </c>
      <c r="C58" s="633"/>
      <c r="D58" s="633"/>
      <c r="E58" s="633"/>
      <c r="F58" s="633"/>
      <c r="G58" s="633"/>
      <c r="H58" s="633"/>
      <c r="I58" s="637"/>
      <c r="J58" s="700"/>
      <c r="K58" s="639"/>
      <c r="L58" s="637" t="s">
        <v>451</v>
      </c>
      <c r="M58" s="1601"/>
      <c r="P58" s="124"/>
      <c r="Q58" s="131"/>
      <c r="R58" s="429"/>
      <c r="U58" s="633"/>
      <c r="V58" s="633"/>
    </row>
    <row r="59" spans="1:23" ht="13.5" customHeight="1" thickTop="1">
      <c r="A59" s="701"/>
      <c r="B59" s="646"/>
      <c r="C59" s="613"/>
      <c r="D59" s="613"/>
      <c r="E59" s="613"/>
      <c r="F59" s="613"/>
      <c r="G59" s="613"/>
      <c r="H59" s="613"/>
      <c r="I59" s="637"/>
      <c r="J59" s="613"/>
      <c r="K59" s="639"/>
      <c r="L59" s="613"/>
      <c r="M59" s="639"/>
      <c r="P59" s="426"/>
      <c r="Q59" s="702"/>
      <c r="R59" s="429"/>
      <c r="U59" s="1495"/>
      <c r="V59" s="1606"/>
    </row>
    <row r="60" spans="1:23" ht="13.5" customHeight="1">
      <c r="A60" s="616" t="s">
        <v>479</v>
      </c>
      <c r="B60" s="703" t="s">
        <v>508</v>
      </c>
      <c r="C60" s="124"/>
      <c r="D60" s="635"/>
      <c r="E60" s="635"/>
      <c r="F60" s="124"/>
      <c r="G60" s="635"/>
      <c r="H60" s="635"/>
      <c r="I60" s="635"/>
      <c r="J60" s="635"/>
      <c r="K60" s="635"/>
      <c r="L60" s="635"/>
      <c r="M60" s="426"/>
      <c r="P60" s="704"/>
      <c r="Q60" s="131"/>
      <c r="R60" s="429"/>
      <c r="U60" s="1495"/>
      <c r="V60" s="1495"/>
    </row>
    <row r="61" spans="1:23" ht="12" customHeight="1">
      <c r="A61" s="616"/>
      <c r="B61" s="646"/>
      <c r="C61" s="426"/>
      <c r="D61" s="613"/>
      <c r="E61" s="613"/>
      <c r="F61" s="613"/>
      <c r="G61" s="613"/>
      <c r="H61" s="613"/>
      <c r="I61" s="613"/>
      <c r="J61" s="613"/>
      <c r="K61" s="613"/>
      <c r="L61" s="613"/>
      <c r="M61" s="426"/>
      <c r="P61" s="124"/>
      <c r="Q61" s="156"/>
      <c r="R61" s="429"/>
      <c r="W61" s="352"/>
    </row>
    <row r="62" spans="1:23" ht="12.75" customHeight="1">
      <c r="A62" s="705"/>
      <c r="B62" s="426"/>
      <c r="C62" s="613"/>
      <c r="D62" s="613"/>
      <c r="E62" s="613"/>
      <c r="F62" s="613"/>
      <c r="G62" s="613"/>
      <c r="H62" s="613"/>
      <c r="I62" s="613"/>
      <c r="J62" s="613"/>
      <c r="K62" s="613"/>
      <c r="L62" s="613"/>
      <c r="M62" s="426"/>
      <c r="P62" s="283"/>
      <c r="Q62" s="706"/>
      <c r="R62" s="707"/>
    </row>
    <row r="63" spans="1:23" ht="12.75" customHeight="1">
      <c r="A63" s="708"/>
      <c r="B63" s="709"/>
      <c r="C63" s="709"/>
      <c r="D63" s="709"/>
      <c r="E63" s="709"/>
      <c r="F63" s="709"/>
      <c r="G63" s="709"/>
      <c r="H63" s="709"/>
      <c r="I63" s="709"/>
      <c r="J63" s="709"/>
      <c r="K63" s="709"/>
      <c r="L63" s="709"/>
      <c r="M63" s="709"/>
      <c r="P63" s="124"/>
    </row>
    <row r="64" spans="1:23" ht="12.75" customHeight="1">
      <c r="A64" s="708"/>
      <c r="B64" s="709"/>
      <c r="C64" s="709"/>
      <c r="D64" s="709"/>
      <c r="E64" s="709"/>
      <c r="F64" s="709"/>
      <c r="G64" s="709"/>
      <c r="H64" s="709"/>
      <c r="I64" s="709"/>
      <c r="J64" s="709"/>
      <c r="K64" s="709"/>
      <c r="L64" s="709"/>
      <c r="M64" s="709"/>
      <c r="O64" s="124"/>
      <c r="P64" s="124"/>
      <c r="Q64" s="124"/>
      <c r="R64" s="124"/>
      <c r="T64" s="124"/>
    </row>
    <row r="65" spans="1:22" ht="12.75" customHeight="1">
      <c r="A65" s="703"/>
      <c r="B65" s="709"/>
      <c r="C65" s="709"/>
      <c r="D65" s="709"/>
      <c r="E65" s="709"/>
      <c r="F65" s="709"/>
      <c r="G65" s="709"/>
      <c r="H65" s="709"/>
      <c r="I65" s="709"/>
      <c r="J65" s="709"/>
      <c r="K65" s="709"/>
      <c r="L65" s="709"/>
      <c r="M65" s="709"/>
    </row>
    <row r="66" spans="1:22" ht="11.25" customHeight="1">
      <c r="A66" s="710"/>
      <c r="B66" s="709"/>
      <c r="C66" s="709"/>
      <c r="D66" s="709"/>
      <c r="E66" s="709"/>
      <c r="F66" s="709"/>
      <c r="G66" s="709"/>
      <c r="H66" s="709"/>
      <c r="I66" s="709"/>
      <c r="J66" s="709"/>
      <c r="K66" s="709"/>
      <c r="L66" s="709"/>
      <c r="M66" s="709"/>
    </row>
    <row r="67" spans="1:22" ht="12.75" customHeight="1">
      <c r="A67" s="711"/>
      <c r="B67" s="675"/>
      <c r="C67" s="675"/>
      <c r="D67" s="675"/>
      <c r="E67" s="675"/>
      <c r="F67" s="675"/>
      <c r="G67" s="675"/>
      <c r="H67" s="675"/>
      <c r="I67" s="675"/>
      <c r="J67" s="675"/>
      <c r="K67" s="675"/>
      <c r="L67" s="675"/>
      <c r="M67" s="675"/>
      <c r="U67" s="124"/>
      <c r="V67" s="633"/>
    </row>
    <row r="68" spans="1:22" ht="53.25" customHeight="1">
      <c r="A68" s="712"/>
      <c r="B68" s="355"/>
      <c r="C68" s="355"/>
      <c r="D68" s="355"/>
      <c r="E68" s="355"/>
      <c r="F68" s="355"/>
      <c r="G68" s="355"/>
      <c r="H68" s="355"/>
      <c r="I68" s="355"/>
      <c r="J68" s="355"/>
      <c r="K68" s="355"/>
      <c r="L68" s="355"/>
      <c r="M68" s="355"/>
    </row>
    <row r="69" spans="1:22" ht="10.5" customHeight="1">
      <c r="A69" s="713"/>
      <c r="B69" s="714"/>
      <c r="C69" s="714"/>
      <c r="D69" s="714"/>
      <c r="E69" s="714"/>
      <c r="F69" s="714"/>
      <c r="G69" s="714"/>
      <c r="H69" s="714"/>
      <c r="I69" s="714"/>
      <c r="J69" s="714"/>
      <c r="K69" s="714"/>
      <c r="L69" s="714"/>
      <c r="M69" s="714"/>
    </row>
    <row r="70" spans="1:22" ht="4.5" customHeight="1">
      <c r="A70" s="715"/>
      <c r="B70" s="675"/>
      <c r="C70" s="675"/>
      <c r="D70" s="675"/>
      <c r="E70" s="675"/>
      <c r="F70" s="675"/>
      <c r="G70" s="675"/>
      <c r="H70" s="675"/>
      <c r="I70" s="675"/>
      <c r="J70" s="675"/>
      <c r="K70" s="675"/>
      <c r="L70" s="675"/>
      <c r="M70" s="675"/>
    </row>
    <row r="71" spans="1:22" ht="24" customHeight="1">
      <c r="A71" s="716"/>
      <c r="B71" s="709"/>
      <c r="C71" s="709"/>
      <c r="D71" s="709"/>
      <c r="E71" s="709"/>
      <c r="F71" s="709"/>
      <c r="G71" s="709"/>
      <c r="H71" s="709"/>
      <c r="I71" s="709"/>
      <c r="J71" s="709"/>
      <c r="K71" s="709"/>
      <c r="L71" s="709"/>
      <c r="M71" s="709"/>
    </row>
    <row r="72" spans="1:22" ht="27.75" customHeight="1">
      <c r="A72" s="635"/>
      <c r="B72" s="635"/>
      <c r="C72" s="623"/>
      <c r="D72" s="623"/>
      <c r="E72" s="623"/>
      <c r="F72" s="623"/>
      <c r="G72" s="717"/>
      <c r="H72" s="124"/>
      <c r="I72" s="635"/>
      <c r="J72" s="635"/>
      <c r="K72" s="635"/>
      <c r="L72" s="635"/>
      <c r="M72" s="124"/>
    </row>
    <row r="73" spans="1:22" ht="25.5" customHeight="1">
      <c r="A73" s="716"/>
      <c r="B73" s="709"/>
      <c r="C73" s="709"/>
      <c r="D73" s="709"/>
      <c r="E73" s="709"/>
      <c r="F73" s="709"/>
      <c r="G73" s="709"/>
      <c r="H73" s="709"/>
      <c r="I73" s="709"/>
      <c r="J73" s="709"/>
      <c r="K73" s="709"/>
      <c r="L73" s="709"/>
      <c r="M73" s="709"/>
    </row>
    <row r="74" spans="1:22" ht="12.75" customHeight="1">
      <c r="A74" s="712"/>
      <c r="B74" s="355"/>
      <c r="C74" s="355"/>
      <c r="D74" s="355"/>
      <c r="E74" s="355"/>
      <c r="F74" s="355"/>
      <c r="G74" s="355"/>
      <c r="H74" s="355"/>
      <c r="I74" s="355"/>
      <c r="J74" s="355"/>
      <c r="K74" s="355"/>
      <c r="L74" s="355"/>
      <c r="M74" s="355"/>
    </row>
  </sheetData>
  <sheetProtection sheet="1" formatCells="0" formatColumns="0" formatRows="0"/>
  <mergeCells count="28">
    <mergeCell ref="N9:S10"/>
    <mergeCell ref="N15:S17"/>
    <mergeCell ref="B18:I18"/>
    <mergeCell ref="C46:G46"/>
    <mergeCell ref="N37:S38"/>
    <mergeCell ref="O22:U23"/>
    <mergeCell ref="B32:H32"/>
    <mergeCell ref="M31:M32"/>
    <mergeCell ref="U60:V60"/>
    <mergeCell ref="C39:I39"/>
    <mergeCell ref="M57:M58"/>
    <mergeCell ref="J40:J41"/>
    <mergeCell ref="C34:I34"/>
    <mergeCell ref="C35:H35"/>
    <mergeCell ref="U59:V59"/>
    <mergeCell ref="D52:G52"/>
    <mergeCell ref="J55:J56"/>
    <mergeCell ref="B44:I44"/>
    <mergeCell ref="C43:I43"/>
    <mergeCell ref="D1:E1"/>
    <mergeCell ref="G1:I1"/>
    <mergeCell ref="I22:I23"/>
    <mergeCell ref="A3:M3"/>
    <mergeCell ref="B22:H23"/>
    <mergeCell ref="C15:F15"/>
    <mergeCell ref="C12:F12"/>
    <mergeCell ref="C14:F14"/>
    <mergeCell ref="C16:F16"/>
  </mergeCells>
  <conditionalFormatting sqref="M10">
    <cfRule type="containsText" dxfId="4" priority="2" stopIfTrue="1" operator="containsText" text="Error">
      <formula>NOT(ISERROR(SEARCH("Error",M10)))</formula>
    </cfRule>
  </conditionalFormatting>
  <conditionalFormatting sqref="M17">
    <cfRule type="containsText" dxfId="3" priority="1" stopIfTrue="1" operator="containsText" text="error">
      <formula>NOT(ISERROR(SEARCH("error",M17)))</formula>
    </cfRule>
  </conditionalFormatting>
  <dataValidations count="7">
    <dataValidation type="whole" operator="lessThanOrEqual" allowBlank="1" showInputMessage="1" showErrorMessage="1" error="This amount must be negative." prompt="This amount must be negative. Enter amount in parentheses." sqref="J46:J47">
      <formula1>0</formula1>
    </dataValidation>
    <dataValidation allowBlank="1" showInputMessage="1" showErrorMessage="1" prompt="Enter negative amount in parentheses." sqref="J50:J51"/>
    <dataValidation allowBlank="1" showInputMessage="1" showErrorMessage="1" promptTitle="Contact ADE prior to completing" prompt="Enter negative amount in parentheses." sqref="J52"/>
    <dataValidation allowBlank="1" showInputMessage="1" showErrorMessage="1" promptTitle="Contact ADE prior to completing" prompt="Please contact ADE's School Finance payment team for more information." sqref="J42"/>
    <dataValidation type="list" allowBlank="1" showInputMessage="1" showErrorMessage="1" sqref="T37">
      <formula1>"X"</formula1>
    </dataValidation>
    <dataValidation type="custom" allowBlank="1" showErrorMessage="1" errorTitle="DAA allocatoin" error="The DAA amount allocated to the M&amp;O Fund exceeds the total DAA amount. " sqref="J17">
      <formula1>J17&lt;=H17</formula1>
    </dataValidation>
    <dataValidation type="custom" allowBlank="1" showInputMessage="1" showErrorMessage="1" errorTitle="RCL allocation" error="The RCL amount allocated to M&amp;O Fund exceeds the total RCL amount." sqref="J10">
      <formula1>J10&lt;=H10</formula1>
    </dataValidation>
  </dataValidations>
  <hyperlinks>
    <hyperlink ref="A9" location="Page7l1" display="1."/>
    <hyperlink ref="A18" location="Page7l3" display="3."/>
    <hyperlink ref="B19" location="Page7l3a" display="(a)"/>
    <hyperlink ref="B20" location="Page7l3b" display="(b)"/>
    <hyperlink ref="B21" location="Page7l3c" display="(c)"/>
    <hyperlink ref="A22" location="Page7l4" display="*4."/>
    <hyperlink ref="A24" location="Page7l5" display="*5."/>
    <hyperlink ref="B29" location="Page7l5d" display="(d)"/>
    <hyperlink ref="A31" location="Page7l7" display="*7."/>
    <hyperlink ref="B34" location="Page7l8a" display="(a)"/>
    <hyperlink ref="A30" location="Page7l6" display="*6."/>
    <hyperlink ref="B15" location="Page7l2b" display="(b)"/>
    <hyperlink ref="A44" location="Page7l9" display="*9."/>
    <hyperlink ref="A14" location="Page7l2athroughb" display="2."/>
    <hyperlink ref="B43" location="Page7l8h" display="(h)"/>
    <hyperlink ref="A53" location="Page7l10" display="10."/>
    <hyperlink ref="B14" location="Page7l2athroughb" display="(a)"/>
    <hyperlink ref="B17" location="Page7l2athroughb" display="(c)"/>
    <hyperlink ref="B35" location="Page7l8b" display="(b)"/>
    <hyperlink ref="B36" location="Page7l8c" display="(c)"/>
    <hyperlink ref="B37" location="Page7l8d" display="(d)"/>
    <hyperlink ref="B39" location="Page7l8e" display="(e)"/>
    <hyperlink ref="B40" location="Page7l8f" display="(f)"/>
    <hyperlink ref="B42" location="Page7l8g" display="(g)"/>
    <hyperlink ref="A54" location="Page7l11" display="*11."/>
  </hyperlinks>
  <printOptions horizontalCentered="1"/>
  <pageMargins left="0.2" right="0.2" top="0.25" bottom="0.25" header="0.5" footer="0.25"/>
  <pageSetup paperSize="5" scale="90" orientation="portrait" r:id="rId1"/>
  <headerFooter>
    <oddFooter>&amp;L&amp;"Times New Roman,Bold"&amp;9Rev. 5/23 Arizona Department of Education and Auditor General&amp;C&amp;"Times New Roman,Regular"&amp;9&amp;D  &amp;T&amp;R&amp;"Times New Roman,Bold"&amp;9Page 7 of 8</oddFooter>
  </headerFooter>
  <drawing r:id="rId2"/>
</worksheet>
</file>

<file path=xl/worksheets/sheet10.xml><?xml version="1.0" encoding="utf-8"?>
<worksheet xmlns="http://schemas.openxmlformats.org/spreadsheetml/2006/main" xmlns:r="http://schemas.openxmlformats.org/officeDocument/2006/relationships">
  <dimension ref="A1:V110"/>
  <sheetViews>
    <sheetView showGridLines="0" workbookViewId="0">
      <selection activeCell="K17" sqref="K17:K18"/>
    </sheetView>
  </sheetViews>
  <sheetFormatPr defaultColWidth="8.90625" defaultRowHeight="13.2"/>
  <cols>
    <col min="1" max="3" width="2" style="174" customWidth="1"/>
    <col min="4" max="4" width="8.90625" style="174" customWidth="1"/>
    <col min="5" max="5" width="23.453125" style="174" customWidth="1"/>
    <col min="6" max="7" width="10.90625" style="174" customWidth="1"/>
    <col min="8" max="8" width="11" style="174" customWidth="1"/>
    <col min="9" max="9" width="1.90625" style="174" customWidth="1"/>
    <col min="10" max="10" width="1" style="174" customWidth="1"/>
    <col min="11" max="11" width="11.90625" style="174" customWidth="1"/>
    <col min="12" max="12" width="10.90625" style="174" customWidth="1"/>
    <col min="13" max="24" width="8.90625" style="174" customWidth="1"/>
    <col min="25" max="16384" width="8.90625" style="174"/>
  </cols>
  <sheetData>
    <row r="1" spans="1:11">
      <c r="A1" s="718" t="s">
        <v>509</v>
      </c>
      <c r="B1" s="719"/>
      <c r="C1" s="719"/>
      <c r="D1" s="719"/>
      <c r="E1" s="720" t="str">
        <f>DistrictName</f>
        <v>Valley Union High School District</v>
      </c>
      <c r="F1" s="721" t="s">
        <v>1</v>
      </c>
      <c r="G1" s="720" t="str">
        <f>Cover!H1</f>
        <v>Cochise</v>
      </c>
      <c r="I1" s="722"/>
      <c r="J1" s="722" t="s">
        <v>439</v>
      </c>
      <c r="K1" s="723" t="str">
        <f>Cover!S1</f>
        <v>020522000</v>
      </c>
    </row>
    <row r="2" spans="1:11">
      <c r="A2" s="724"/>
      <c r="B2" s="725"/>
      <c r="C2" s="725"/>
      <c r="D2" s="725"/>
      <c r="E2" s="179"/>
      <c r="F2" s="179"/>
      <c r="G2" s="179"/>
      <c r="H2" s="179"/>
      <c r="I2" s="179"/>
      <c r="J2" s="125" t="s">
        <v>74</v>
      </c>
      <c r="K2" s="726" t="str">
        <f>Cover!C8</f>
        <v>Proposed</v>
      </c>
    </row>
    <row r="3" spans="1:11" ht="18" customHeight="1">
      <c r="A3" s="1628" t="s">
        <v>510</v>
      </c>
      <c r="B3" s="1629"/>
      <c r="C3" s="1629"/>
      <c r="D3" s="1629"/>
      <c r="E3" s="1629"/>
      <c r="F3" s="1629"/>
      <c r="G3" s="1629"/>
      <c r="H3" s="1629"/>
      <c r="I3" s="1629"/>
      <c r="J3" s="1629"/>
      <c r="K3" s="1629"/>
    </row>
    <row r="4" spans="1:11" ht="13.5" customHeight="1">
      <c r="A4" s="1629"/>
      <c r="B4" s="1629"/>
      <c r="C4" s="1629"/>
      <c r="D4" s="1629"/>
      <c r="E4" s="1629"/>
      <c r="F4" s="1629"/>
      <c r="G4" s="1629"/>
      <c r="H4" s="1629"/>
      <c r="I4" s="1629"/>
      <c r="J4" s="1629"/>
      <c r="K4" s="1629"/>
    </row>
    <row r="5" spans="1:11" ht="5.25" customHeight="1">
      <c r="A5" s="727"/>
      <c r="B5" s="728"/>
      <c r="C5" s="728"/>
      <c r="D5" s="728"/>
      <c r="E5" s="179"/>
      <c r="F5" s="179"/>
      <c r="G5" s="179"/>
      <c r="H5" s="179"/>
      <c r="I5" s="179"/>
      <c r="J5" s="179"/>
      <c r="K5" s="179"/>
    </row>
    <row r="6" spans="1:11" ht="30.75" customHeight="1">
      <c r="A6" s="729" t="s">
        <v>511</v>
      </c>
      <c r="B6" s="730"/>
      <c r="C6" s="730"/>
      <c r="D6" s="731"/>
      <c r="E6" s="732"/>
      <c r="F6" s="732"/>
      <c r="G6" s="732"/>
      <c r="H6" s="732"/>
      <c r="I6" s="732"/>
      <c r="J6" s="732"/>
      <c r="K6" s="733"/>
    </row>
    <row r="7" spans="1:11" ht="12" customHeight="1">
      <c r="A7" s="734"/>
      <c r="B7" s="735" t="s">
        <v>6</v>
      </c>
      <c r="C7" s="736" t="s">
        <v>512</v>
      </c>
      <c r="E7" s="285"/>
      <c r="F7" s="285"/>
      <c r="G7" s="285"/>
      <c r="H7" s="285"/>
      <c r="I7" s="732"/>
      <c r="J7" s="732"/>
      <c r="K7" s="1630">
        <f>[1]!UCBLBudgFY</f>
        <v>662168</v>
      </c>
    </row>
    <row r="8" spans="1:11" ht="12.75" customHeight="1">
      <c r="C8" s="1632" t="s">
        <v>513</v>
      </c>
      <c r="D8" s="1632"/>
      <c r="E8" s="1632"/>
      <c r="F8" s="1632"/>
      <c r="G8" s="1632"/>
      <c r="H8" s="1632"/>
      <c r="J8" s="308" t="s">
        <v>451</v>
      </c>
      <c r="K8" s="1631"/>
    </row>
    <row r="9" spans="1:11" ht="14.25" customHeight="1">
      <c r="B9" s="737" t="s">
        <v>9</v>
      </c>
      <c r="C9" s="738" t="s">
        <v>514</v>
      </c>
      <c r="J9" s="308"/>
      <c r="K9" s="739"/>
    </row>
    <row r="10" spans="1:11" ht="12.75" customHeight="1">
      <c r="C10" s="1632" t="s">
        <v>515</v>
      </c>
      <c r="D10" s="1632"/>
      <c r="E10" s="1632"/>
      <c r="F10" s="1632"/>
      <c r="G10" s="1632"/>
      <c r="H10" s="1632"/>
      <c r="J10" s="308" t="s">
        <v>451</v>
      </c>
      <c r="K10" s="24"/>
    </row>
    <row r="11" spans="1:11" ht="14.25" customHeight="1">
      <c r="B11" s="737" t="s">
        <v>24</v>
      </c>
      <c r="C11" s="1633" t="s">
        <v>516</v>
      </c>
      <c r="D11" s="1634"/>
      <c r="E11" s="1634"/>
      <c r="F11" s="1634"/>
      <c r="G11" s="1634"/>
      <c r="H11" s="1634"/>
      <c r="J11" s="308" t="s">
        <v>451</v>
      </c>
      <c r="K11" s="741">
        <f>K7+K10</f>
        <v>662168</v>
      </c>
    </row>
    <row r="12" spans="1:11" ht="14.25" customHeight="1">
      <c r="B12" s="735" t="s">
        <v>51</v>
      </c>
      <c r="C12" s="1619" t="s">
        <v>517</v>
      </c>
      <c r="D12" s="1619"/>
      <c r="E12" s="1619"/>
      <c r="F12" s="1619"/>
      <c r="G12" s="1619"/>
      <c r="H12" s="1619"/>
      <c r="J12" s="308"/>
      <c r="K12" s="354"/>
    </row>
    <row r="13" spans="1:11" ht="14.25" customHeight="1">
      <c r="B13" s="735"/>
      <c r="C13" s="1619" t="s">
        <v>518</v>
      </c>
      <c r="D13" s="1619"/>
      <c r="E13" s="1619"/>
      <c r="F13" s="1619"/>
      <c r="G13" s="1619"/>
      <c r="H13" s="1619"/>
      <c r="J13" s="308" t="s">
        <v>451</v>
      </c>
      <c r="K13" s="354">
        <f>[1]!F610TotalBudgFY</f>
        <v>662168</v>
      </c>
    </row>
    <row r="14" spans="1:11" ht="14.25" customHeight="1">
      <c r="B14" s="735" t="s">
        <v>166</v>
      </c>
      <c r="C14" s="1636" t="s">
        <v>519</v>
      </c>
      <c r="D14" s="1636"/>
      <c r="E14" s="1636"/>
      <c r="F14" s="1636"/>
      <c r="G14" s="1636"/>
      <c r="H14" s="1636"/>
      <c r="J14" s="308" t="s">
        <v>451</v>
      </c>
      <c r="K14" s="742">
        <f>IF(K10&gt;0,MIN(K13+K10,K11),MIN(K11,K13))</f>
        <v>662168</v>
      </c>
    </row>
    <row r="15" spans="1:11" ht="14.25" customHeight="1">
      <c r="B15" s="743" t="s">
        <v>168</v>
      </c>
      <c r="C15" s="1618" t="s">
        <v>520</v>
      </c>
      <c r="D15" s="1618"/>
      <c r="E15" s="1618"/>
      <c r="F15" s="1618"/>
      <c r="G15" s="1618"/>
      <c r="H15" s="1618"/>
      <c r="J15" s="308"/>
      <c r="K15" s="354"/>
    </row>
    <row r="16" spans="1:11" ht="14.25" customHeight="1">
      <c r="B16" s="735"/>
      <c r="C16" s="1617" t="s">
        <v>521</v>
      </c>
      <c r="D16" s="1617"/>
      <c r="E16" s="1617"/>
      <c r="F16" s="1617"/>
      <c r="G16" s="1617"/>
      <c r="H16" s="1617"/>
      <c r="J16" s="308" t="s">
        <v>451</v>
      </c>
      <c r="K16" s="119">
        <v>152752</v>
      </c>
    </row>
    <row r="17" spans="1:22" ht="14.25" customHeight="1">
      <c r="B17" s="735" t="s">
        <v>170</v>
      </c>
      <c r="C17" s="1617" t="s">
        <v>522</v>
      </c>
      <c r="D17" s="1617"/>
      <c r="E17" s="1617"/>
      <c r="F17" s="1617"/>
      <c r="G17" s="1617"/>
      <c r="H17" s="1617"/>
      <c r="K17" s="1620">
        <f>IF(K14-K16&gt;0,K14-K16,0)</f>
        <v>509416</v>
      </c>
    </row>
    <row r="18" spans="1:22" ht="14.25" customHeight="1">
      <c r="B18" s="735"/>
      <c r="C18" s="744" t="s">
        <v>523</v>
      </c>
      <c r="D18" s="738"/>
      <c r="E18" s="745"/>
      <c r="F18" s="745"/>
      <c r="G18" s="746" t="str">
        <f>IF((K14-K16)&lt;0,K14-K16,"")</f>
        <v/>
      </c>
      <c r="H18" s="147" t="str">
        <f>IF(G18&lt;0,"OVEREXPENDED"," ")</f>
        <v xml:space="preserve"> </v>
      </c>
      <c r="J18" s="308" t="s">
        <v>451</v>
      </c>
      <c r="K18" s="1621"/>
    </row>
    <row r="19" spans="1:22" ht="14.25" customHeight="1">
      <c r="A19" s="747"/>
      <c r="B19" s="743" t="s">
        <v>172</v>
      </c>
      <c r="C19" s="320" t="s">
        <v>524</v>
      </c>
      <c r="D19" s="738"/>
      <c r="E19" s="179"/>
      <c r="F19" s="745"/>
      <c r="G19" s="745"/>
      <c r="H19" s="745"/>
      <c r="I19" s="745"/>
      <c r="J19" s="308" t="s">
        <v>451</v>
      </c>
      <c r="K19" s="24"/>
    </row>
    <row r="20" spans="1:22" ht="13.5" customHeight="1">
      <c r="A20" s="748"/>
      <c r="B20" s="743" t="s">
        <v>174</v>
      </c>
      <c r="C20" s="325" t="s">
        <v>525</v>
      </c>
      <c r="D20" s="736"/>
      <c r="E20" s="749"/>
      <c r="F20" s="749"/>
      <c r="G20" s="749"/>
      <c r="H20" s="749"/>
      <c r="J20" s="308" t="s">
        <v>451</v>
      </c>
      <c r="K20" s="24"/>
    </row>
    <row r="21" spans="1:22" ht="4.5" customHeight="1">
      <c r="D21" s="736"/>
      <c r="E21" s="736"/>
      <c r="F21" s="736"/>
      <c r="G21" s="736"/>
      <c r="H21" s="736"/>
    </row>
    <row r="22" spans="1:22" ht="13.5" customHeight="1">
      <c r="B22" s="743" t="s">
        <v>176</v>
      </c>
      <c r="C22" s="1618" t="s">
        <v>526</v>
      </c>
      <c r="D22" s="1618"/>
      <c r="E22" s="1618"/>
      <c r="F22" s="1618"/>
      <c r="G22" s="1618"/>
      <c r="H22" s="1618"/>
      <c r="J22" s="308"/>
      <c r="K22" s="1630"/>
      <c r="N22" s="668"/>
      <c r="O22" s="633"/>
      <c r="P22" s="633"/>
      <c r="Q22" s="633"/>
      <c r="R22" s="633"/>
      <c r="S22" s="633"/>
      <c r="T22" s="633"/>
      <c r="U22" s="633"/>
      <c r="V22" s="633"/>
    </row>
    <row r="23" spans="1:22" ht="13.5" customHeight="1">
      <c r="B23" s="750"/>
      <c r="C23" s="309" t="s">
        <v>453</v>
      </c>
      <c r="D23" s="751" t="s">
        <v>494</v>
      </c>
      <c r="E23" s="751"/>
      <c r="F23" s="751"/>
      <c r="G23" s="751"/>
      <c r="H23" s="751"/>
      <c r="J23" s="308"/>
      <c r="K23" s="1630"/>
      <c r="N23" s="668"/>
      <c r="O23" s="633"/>
      <c r="P23" s="633"/>
      <c r="Q23" s="633"/>
      <c r="R23" s="633"/>
      <c r="S23" s="633"/>
      <c r="T23" s="633"/>
      <c r="U23" s="633"/>
      <c r="V23" s="633"/>
    </row>
    <row r="24" spans="1:22" ht="13.5" customHeight="1">
      <c r="B24" s="750"/>
      <c r="C24" s="750"/>
      <c r="D24" s="1635"/>
      <c r="E24" s="1635"/>
      <c r="F24" s="1635"/>
      <c r="G24" s="1635"/>
      <c r="H24" s="751"/>
      <c r="J24" s="308" t="s">
        <v>451</v>
      </c>
      <c r="K24" s="119"/>
      <c r="N24" s="668"/>
      <c r="O24" s="633"/>
      <c r="P24" s="633"/>
      <c r="Q24" s="633"/>
      <c r="R24" s="633"/>
      <c r="S24" s="633"/>
      <c r="T24" s="633"/>
      <c r="U24" s="633"/>
      <c r="V24" s="633"/>
    </row>
    <row r="25" spans="1:22" ht="1.5" customHeight="1">
      <c r="B25" s="750"/>
      <c r="C25" s="309"/>
      <c r="D25" s="751"/>
      <c r="E25" s="751"/>
      <c r="F25" s="751"/>
      <c r="G25" s="751"/>
      <c r="H25" s="751"/>
      <c r="J25" s="308"/>
      <c r="K25" s="739"/>
      <c r="N25" s="668"/>
      <c r="O25" s="633"/>
      <c r="P25" s="633"/>
      <c r="Q25" s="633"/>
      <c r="R25" s="633"/>
      <c r="S25" s="633"/>
      <c r="T25" s="633"/>
      <c r="U25" s="633"/>
      <c r="V25" s="633"/>
    </row>
    <row r="26" spans="1:22" ht="1.5" customHeight="1">
      <c r="B26" s="750"/>
      <c r="C26" s="752"/>
      <c r="D26" s="751"/>
      <c r="E26" s="751"/>
      <c r="F26" s="751"/>
      <c r="G26" s="751"/>
      <c r="H26" s="751"/>
      <c r="J26" s="308"/>
      <c r="K26" s="354"/>
      <c r="N26" s="668"/>
      <c r="O26" s="633"/>
      <c r="P26" s="633"/>
      <c r="Q26" s="633"/>
      <c r="R26" s="633"/>
      <c r="S26" s="633"/>
      <c r="T26" s="633"/>
      <c r="U26" s="633"/>
      <c r="V26" s="633"/>
    </row>
    <row r="27" spans="1:22" ht="13.5" customHeight="1">
      <c r="B27" s="750"/>
      <c r="C27" s="753" t="s">
        <v>455</v>
      </c>
      <c r="D27" s="751" t="s">
        <v>498</v>
      </c>
      <c r="E27" s="751"/>
      <c r="F27" s="751"/>
      <c r="G27" s="751"/>
      <c r="H27" s="751"/>
      <c r="J27" s="308" t="s">
        <v>451</v>
      </c>
      <c r="K27" s="24"/>
      <c r="N27" s="668"/>
      <c r="O27" s="633"/>
      <c r="P27" s="633"/>
      <c r="Q27" s="633"/>
      <c r="R27" s="633"/>
      <c r="S27" s="633"/>
      <c r="T27" s="633"/>
      <c r="U27" s="633"/>
      <c r="V27" s="633"/>
    </row>
    <row r="28" spans="1:22" ht="13.5" customHeight="1">
      <c r="B28" s="750"/>
      <c r="C28" s="754" t="s">
        <v>457</v>
      </c>
      <c r="D28" s="751" t="s">
        <v>499</v>
      </c>
      <c r="E28" s="1635"/>
      <c r="F28" s="1635"/>
      <c r="G28" s="1635"/>
      <c r="H28" s="751"/>
      <c r="J28" s="308" t="s">
        <v>451</v>
      </c>
      <c r="K28" s="51"/>
      <c r="N28" s="668"/>
      <c r="O28" s="633"/>
      <c r="P28" s="633"/>
      <c r="Q28" s="633"/>
      <c r="R28" s="633"/>
      <c r="S28" s="633"/>
      <c r="T28" s="633"/>
      <c r="U28" s="633"/>
      <c r="V28" s="633"/>
    </row>
    <row r="29" spans="1:22" ht="3.75" customHeight="1">
      <c r="B29" s="755"/>
      <c r="C29" s="755"/>
      <c r="D29" s="736"/>
      <c r="J29" s="308"/>
      <c r="K29" s="756"/>
      <c r="N29" s="1622"/>
      <c r="O29" s="1623"/>
      <c r="P29" s="1623"/>
      <c r="Q29" s="1623"/>
      <c r="R29" s="1623"/>
      <c r="S29" s="1623"/>
      <c r="T29" s="1623"/>
      <c r="U29" s="1623"/>
      <c r="V29" s="1623"/>
    </row>
    <row r="30" spans="1:22" ht="13.5" customHeight="1">
      <c r="A30" s="757"/>
      <c r="B30" s="758" t="s">
        <v>178</v>
      </c>
      <c r="C30" s="759" t="s">
        <v>527</v>
      </c>
      <c r="D30" s="736"/>
      <c r="E30" s="179"/>
      <c r="F30" s="179"/>
      <c r="G30" s="179"/>
      <c r="H30" s="179"/>
      <c r="I30" s="179"/>
      <c r="J30" s="308" t="s">
        <v>451</v>
      </c>
      <c r="K30" s="740">
        <f>TotAmtCapExped</f>
        <v>0</v>
      </c>
      <c r="N30" s="1623"/>
      <c r="O30" s="1623"/>
      <c r="P30" s="1623"/>
      <c r="Q30" s="1623"/>
      <c r="R30" s="1623"/>
      <c r="S30" s="1623"/>
      <c r="T30" s="1623"/>
      <c r="U30" s="1623"/>
      <c r="V30" s="1623"/>
    </row>
    <row r="31" spans="1:22" ht="6" customHeight="1">
      <c r="A31" s="757"/>
      <c r="B31" s="755"/>
      <c r="C31" s="755"/>
      <c r="D31" s="736"/>
      <c r="E31" s="179"/>
      <c r="F31" s="179"/>
      <c r="G31" s="179"/>
      <c r="H31" s="179"/>
      <c r="I31" s="179"/>
      <c r="J31" s="308"/>
      <c r="K31" s="739"/>
      <c r="N31" s="1623"/>
      <c r="O31" s="1623"/>
      <c r="P31" s="1623"/>
      <c r="Q31" s="1623"/>
      <c r="R31" s="1623"/>
      <c r="S31" s="1623"/>
      <c r="T31" s="1623"/>
      <c r="U31" s="1623"/>
      <c r="V31" s="1623"/>
    </row>
    <row r="32" spans="1:22" ht="13.5" customHeight="1" thickBot="1">
      <c r="A32" s="308"/>
      <c r="B32" s="758" t="s">
        <v>180</v>
      </c>
      <c r="C32" s="759" t="s">
        <v>528</v>
      </c>
      <c r="D32" s="736"/>
      <c r="E32" s="749"/>
      <c r="F32" s="749"/>
      <c r="G32" s="760"/>
      <c r="H32" s="749"/>
      <c r="J32" s="308" t="s">
        <v>451</v>
      </c>
      <c r="K32" s="761">
        <f>SUM(K17:K30)</f>
        <v>509416</v>
      </c>
      <c r="N32" s="156"/>
      <c r="O32" s="124"/>
      <c r="P32" s="124"/>
      <c r="Q32" s="124"/>
      <c r="R32" s="124"/>
      <c r="S32" s="124"/>
      <c r="T32" s="124"/>
      <c r="U32" s="124"/>
      <c r="V32" s="426"/>
    </row>
    <row r="33" spans="1:22" ht="8.25" customHeight="1" thickTop="1">
      <c r="A33" s="308"/>
      <c r="D33" s="736"/>
      <c r="J33" s="308"/>
      <c r="K33" s="756"/>
      <c r="N33" s="124"/>
      <c r="O33" s="124"/>
      <c r="P33" s="124"/>
      <c r="Q33" s="124"/>
      <c r="R33" s="124"/>
      <c r="S33" s="124"/>
      <c r="T33" s="1506"/>
      <c r="U33" s="1410"/>
      <c r="V33" s="426"/>
    </row>
    <row r="34" spans="1:22" ht="3" customHeight="1">
      <c r="A34" s="308"/>
      <c r="B34" s="755"/>
      <c r="C34" s="755"/>
      <c r="D34" s="736"/>
      <c r="E34" s="745"/>
      <c r="F34" s="745"/>
      <c r="G34" s="745"/>
      <c r="H34" s="745"/>
      <c r="J34" s="308"/>
      <c r="K34" s="756"/>
      <c r="N34" s="124"/>
      <c r="O34" s="124"/>
      <c r="P34" s="124"/>
      <c r="Q34" s="124"/>
      <c r="R34" s="124"/>
      <c r="S34" s="124"/>
      <c r="T34" s="1506"/>
      <c r="U34" s="1410"/>
      <c r="V34" s="426"/>
    </row>
    <row r="35" spans="1:22" ht="15" customHeight="1">
      <c r="A35" s="762" t="s">
        <v>435</v>
      </c>
      <c r="B35" s="763" t="s">
        <v>529</v>
      </c>
      <c r="C35" s="764"/>
      <c r="D35" s="736"/>
      <c r="E35" s="745"/>
      <c r="F35" s="745"/>
      <c r="G35" s="745"/>
      <c r="H35" s="745"/>
      <c r="I35" s="179"/>
      <c r="J35" s="308"/>
      <c r="K35" s="756"/>
      <c r="N35" s="124"/>
      <c r="O35" s="124"/>
      <c r="P35" s="124"/>
      <c r="Q35" s="124"/>
      <c r="R35" s="124"/>
      <c r="S35" s="124"/>
      <c r="T35" s="1506"/>
      <c r="U35" s="1410"/>
      <c r="V35" s="426"/>
    </row>
    <row r="36" spans="1:22" ht="6.75" customHeight="1">
      <c r="A36" s="765"/>
      <c r="B36" s="766"/>
      <c r="C36" s="764"/>
      <c r="D36" s="736"/>
      <c r="E36" s="745"/>
      <c r="F36" s="745"/>
      <c r="G36" s="745"/>
      <c r="H36" s="745"/>
      <c r="I36" s="179"/>
      <c r="J36" s="308"/>
      <c r="K36" s="756"/>
      <c r="N36" s="124"/>
      <c r="O36" s="124"/>
      <c r="P36" s="124"/>
      <c r="Q36" s="124"/>
      <c r="R36" s="124"/>
      <c r="S36" s="124"/>
      <c r="T36" s="1506"/>
      <c r="U36" s="1410"/>
      <c r="V36" s="426"/>
    </row>
    <row r="38" spans="1:22">
      <c r="A38" s="179"/>
      <c r="B38" s="179"/>
      <c r="C38" s="179"/>
    </row>
    <row r="39" spans="1:22" ht="15">
      <c r="A39" s="767"/>
      <c r="B39" s="1626"/>
      <c r="C39" s="1626"/>
      <c r="D39" s="1625"/>
      <c r="E39" s="1625"/>
    </row>
    <row r="40" spans="1:22" ht="15">
      <c r="A40" s="769"/>
      <c r="B40" s="1624"/>
      <c r="C40" s="1624"/>
      <c r="D40" s="1625"/>
      <c r="E40" s="1625"/>
    </row>
    <row r="41" spans="1:22" ht="15">
      <c r="A41" s="769"/>
      <c r="B41" s="1624"/>
      <c r="C41" s="1624"/>
      <c r="D41" s="1625"/>
      <c r="E41" s="1625"/>
    </row>
    <row r="42" spans="1:22" ht="15">
      <c r="A42" s="769"/>
      <c r="B42" s="770"/>
      <c r="C42" s="770"/>
      <c r="D42" s="771"/>
      <c r="E42" s="771"/>
    </row>
    <row r="43" spans="1:22" ht="15">
      <c r="A43" s="769"/>
      <c r="B43" s="1626"/>
      <c r="C43" s="1626"/>
      <c r="D43" s="1625"/>
      <c r="E43" s="1625"/>
    </row>
    <row r="44" spans="1:22" ht="15">
      <c r="A44" s="769"/>
      <c r="B44" s="1626"/>
      <c r="C44" s="1626"/>
      <c r="D44" s="1625"/>
      <c r="E44" s="1625"/>
    </row>
    <row r="45" spans="1:22" ht="12.75" customHeight="1">
      <c r="A45" s="767"/>
    </row>
    <row r="46" spans="1:22" ht="15">
      <c r="A46" s="769"/>
      <c r="B46" s="1626"/>
      <c r="C46" s="1626"/>
      <c r="D46" s="1625"/>
      <c r="E46" s="1625"/>
    </row>
    <row r="47" spans="1:22" ht="15">
      <c r="A47" s="769"/>
      <c r="E47" s="768"/>
      <c r="F47" s="354"/>
      <c r="G47" s="354"/>
      <c r="H47" s="354"/>
      <c r="I47"/>
      <c r="J47" s="354"/>
      <c r="K47" s="748"/>
      <c r="L47" s="354"/>
    </row>
    <row r="48" spans="1:22" ht="15">
      <c r="A48" s="769"/>
      <c r="B48" s="1626"/>
      <c r="C48" s="1626"/>
      <c r="D48" s="1627"/>
      <c r="E48" s="1627"/>
      <c r="F48" s="1627"/>
      <c r="G48" s="1627"/>
      <c r="H48" s="1627"/>
      <c r="I48" s="1627"/>
      <c r="J48" s="1627"/>
      <c r="K48" s="1627"/>
      <c r="L48" s="1627"/>
    </row>
    <row r="49" spans="1:3" ht="13.8">
      <c r="A49" s="772"/>
      <c r="B49" s="179"/>
      <c r="C49" s="179"/>
    </row>
    <row r="110" spans="1:12">
      <c r="A110" s="286"/>
      <c r="L110" s="286"/>
    </row>
  </sheetData>
  <sheetProtection sheet="1" formatCells="0" formatColumns="0" formatRows="0"/>
  <mergeCells count="26">
    <mergeCell ref="B48:L48"/>
    <mergeCell ref="B44:E44"/>
    <mergeCell ref="B46:E46"/>
    <mergeCell ref="B39:E39"/>
    <mergeCell ref="A3:K4"/>
    <mergeCell ref="K7:K8"/>
    <mergeCell ref="C10:H10"/>
    <mergeCell ref="C11:H11"/>
    <mergeCell ref="D24:G24"/>
    <mergeCell ref="E28:G28"/>
    <mergeCell ref="B43:E43"/>
    <mergeCell ref="C14:H14"/>
    <mergeCell ref="C15:H15"/>
    <mergeCell ref="C16:H16"/>
    <mergeCell ref="K22:K23"/>
    <mergeCell ref="C8:H8"/>
    <mergeCell ref="U33:U36"/>
    <mergeCell ref="T33:T36"/>
    <mergeCell ref="N29:V31"/>
    <mergeCell ref="B40:E40"/>
    <mergeCell ref="B41:E41"/>
    <mergeCell ref="C17:H17"/>
    <mergeCell ref="C22:H22"/>
    <mergeCell ref="C12:H12"/>
    <mergeCell ref="C13:H13"/>
    <mergeCell ref="K17:K18"/>
  </mergeCells>
  <dataValidations count="3">
    <dataValidation allowBlank="1" showInputMessage="1" showErrorMessage="1" prompt="Enter negative amount in parentheses." sqref="K27"/>
    <dataValidation type="whole" operator="lessThanOrEqual" allowBlank="1" showInputMessage="1" showErrorMessage="1" prompt="This amount must be negative. Enter amount in parentheses." sqref="K24">
      <formula1>0</formula1>
    </dataValidation>
    <dataValidation allowBlank="1" showInputMessage="1" showErrorMessage="1" promptTitle="Contact ADE prior to completing" prompt="Enter negative amount in parentheses." sqref="K28"/>
  </dataValidations>
  <hyperlinks>
    <hyperlink ref="B9" location="Page8lA2" display="2."/>
    <hyperlink ref="B20" location="Page8lA9" display="9."/>
    <hyperlink ref="B22" location="Page8lA10" display="10."/>
    <hyperlink ref="B15" location="Page8lA6" display="6."/>
    <hyperlink ref="B19" location="Page8lA8" display="8."/>
    <hyperlink ref="B11" location="Page8lA3" display="3."/>
  </hyperlinks>
  <printOptions horizontalCentered="1"/>
  <pageMargins left="0.2" right="0.2" top="0.25" bottom="0.25" header="0" footer="0.25"/>
  <pageSetup paperSize="5" scale="90" fitToWidth="2" fitToHeight="2" orientation="portrait" r:id="rId1"/>
  <headerFooter>
    <oddFooter>&amp;L&amp;"Times New Roman,Bold"&amp;10Rev. 5/23 Arizona Department of Education and Auditor General&amp;C&amp;"Times New Roman,Regular"&amp;10&amp;D  &amp;T&amp;R&amp;"Times New Roman,Bold"&amp;10Page 8 of 8</oddFooter>
  </headerFooter>
  <colBreaks count="1" manualBreakCount="1">
    <brk id="13" max="1048575" man="1"/>
  </colBreaks>
  <ignoredErrors>
    <ignoredError sqref="B22" numberStoredAsText="1"/>
  </ignoredErrors>
  <drawing r:id="rId2"/>
</worksheet>
</file>

<file path=xl/worksheets/sheet11.xml><?xml version="1.0" encoding="utf-8"?>
<worksheet xmlns="http://schemas.openxmlformats.org/spreadsheetml/2006/main" xmlns:r="http://schemas.openxmlformats.org/officeDocument/2006/relationships">
  <sheetPr transitionEvaluation="1" transitionEntry="1"/>
  <dimension ref="A1:Q31"/>
  <sheetViews>
    <sheetView showGridLines="0" workbookViewId="0">
      <selection activeCell="E8" sqref="E8"/>
    </sheetView>
  </sheetViews>
  <sheetFormatPr defaultColWidth="9.90625" defaultRowHeight="15.6"/>
  <cols>
    <col min="1" max="1" width="16.90625" style="127" customWidth="1"/>
    <col min="2" max="2" width="26.90625" style="127" customWidth="1"/>
    <col min="3" max="3" width="3" style="127" customWidth="1"/>
    <col min="4" max="5" width="5.90625" style="127" customWidth="1"/>
    <col min="6" max="13" width="10.90625" style="127" customWidth="1"/>
    <col min="14" max="14" width="6.90625" style="127" customWidth="1"/>
    <col min="15" max="16" width="3.90625" style="127" customWidth="1"/>
    <col min="17" max="18" width="9.90625" style="127" customWidth="1"/>
    <col min="19" max="16384" width="9.90625" style="127"/>
  </cols>
  <sheetData>
    <row r="1" spans="1:17" ht="12" customHeight="1">
      <c r="A1" s="125" t="s">
        <v>71</v>
      </c>
      <c r="B1" s="1459" t="str">
        <f>DistrictName</f>
        <v>Valley Union High School District</v>
      </c>
      <c r="C1" s="1459"/>
      <c r="D1" s="1459"/>
      <c r="E1" s="1459"/>
      <c r="F1" s="125" t="s">
        <v>72</v>
      </c>
      <c r="G1" s="1487" t="str">
        <f>Cover!H1</f>
        <v>Cochise</v>
      </c>
      <c r="H1" s="1501"/>
      <c r="I1" s="179"/>
      <c r="J1" s="125" t="s">
        <v>73</v>
      </c>
      <c r="K1" s="128" t="str">
        <f>Cover!S1</f>
        <v>020522000</v>
      </c>
      <c r="L1" s="191"/>
      <c r="M1" s="125" t="s">
        <v>74</v>
      </c>
      <c r="N1" s="1464" t="str">
        <f>Cover!C8</f>
        <v>Proposed</v>
      </c>
      <c r="O1" s="1464"/>
      <c r="P1" s="179"/>
      <c r="Q1" s="179"/>
    </row>
    <row r="2" spans="1:17" ht="42" customHeight="1">
      <c r="A2" s="1644" t="s">
        <v>530</v>
      </c>
      <c r="B2" s="1645"/>
      <c r="C2" s="1645"/>
      <c r="D2" s="1645"/>
      <c r="E2" s="1645"/>
      <c r="F2" s="1645"/>
      <c r="G2" s="1645"/>
      <c r="H2" s="1645"/>
      <c r="I2" s="1645"/>
      <c r="J2" s="1645"/>
      <c r="K2" s="1645"/>
      <c r="L2" s="1645"/>
      <c r="M2" s="1645"/>
      <c r="N2" s="1645"/>
      <c r="O2" s="773"/>
      <c r="P2" s="773"/>
      <c r="Q2" s="773"/>
    </row>
    <row r="3" spans="1:17" ht="12" customHeight="1">
      <c r="A3" s="774"/>
      <c r="B3" s="775"/>
      <c r="C3" s="129"/>
      <c r="D3" s="776"/>
      <c r="E3" s="777"/>
      <c r="F3" s="778"/>
      <c r="G3" s="454" t="s">
        <v>139</v>
      </c>
      <c r="H3" s="454" t="s">
        <v>140</v>
      </c>
      <c r="I3" s="454"/>
      <c r="J3" s="454"/>
      <c r="K3" s="454"/>
      <c r="L3" s="457" t="s">
        <v>141</v>
      </c>
      <c r="M3" s="457"/>
      <c r="N3" s="222"/>
    </row>
    <row r="4" spans="1:17" ht="12" customHeight="1">
      <c r="A4" s="1647" t="s">
        <v>531</v>
      </c>
      <c r="B4" s="1648"/>
      <c r="C4" s="124"/>
      <c r="D4" s="223" t="s">
        <v>142</v>
      </c>
      <c r="E4" s="779"/>
      <c r="F4" s="224" t="s">
        <v>143</v>
      </c>
      <c r="G4" s="220" t="s">
        <v>144</v>
      </c>
      <c r="H4" s="220" t="s">
        <v>145</v>
      </c>
      <c r="I4" s="220" t="s">
        <v>146</v>
      </c>
      <c r="J4" s="220" t="s">
        <v>252</v>
      </c>
      <c r="K4" s="220" t="s">
        <v>147</v>
      </c>
      <c r="L4" s="134" t="s">
        <v>148</v>
      </c>
      <c r="M4" s="224" t="s">
        <v>149</v>
      </c>
      <c r="N4" s="220" t="s">
        <v>150</v>
      </c>
    </row>
    <row r="5" spans="1:17" ht="12" customHeight="1">
      <c r="A5" s="780"/>
      <c r="C5" s="124"/>
      <c r="D5" s="220" t="s">
        <v>148</v>
      </c>
      <c r="E5" s="134" t="s">
        <v>149</v>
      </c>
      <c r="F5" s="224"/>
      <c r="G5" s="226"/>
      <c r="H5" s="220" t="s">
        <v>152</v>
      </c>
      <c r="I5" s="220"/>
      <c r="J5" s="220"/>
      <c r="K5" s="220"/>
      <c r="L5" s="134" t="s">
        <v>3</v>
      </c>
      <c r="M5" s="224" t="s">
        <v>3</v>
      </c>
      <c r="N5" s="220" t="s">
        <v>153</v>
      </c>
    </row>
    <row r="6" spans="1:17" ht="12" customHeight="1">
      <c r="A6" s="781" t="s">
        <v>151</v>
      </c>
      <c r="B6" s="228"/>
      <c r="C6" s="229"/>
      <c r="D6" s="230" t="s">
        <v>3</v>
      </c>
      <c r="E6" s="231" t="s">
        <v>3</v>
      </c>
      <c r="F6" s="232">
        <v>6100</v>
      </c>
      <c r="G6" s="230" t="s">
        <v>155</v>
      </c>
      <c r="H6" s="230" t="s">
        <v>156</v>
      </c>
      <c r="I6" s="230">
        <v>6600</v>
      </c>
      <c r="J6" s="230">
        <v>6700</v>
      </c>
      <c r="K6" s="230" t="s">
        <v>157</v>
      </c>
      <c r="L6" s="231">
        <v>2023</v>
      </c>
      <c r="M6" s="232">
        <v>2024</v>
      </c>
      <c r="N6" s="230" t="s">
        <v>158</v>
      </c>
    </row>
    <row r="7" spans="1:17" ht="13.5" customHeight="1">
      <c r="A7" s="1637" t="s">
        <v>532</v>
      </c>
      <c r="B7" s="1638"/>
      <c r="C7" s="782"/>
      <c r="D7" s="1461">
        <f>[1]!F071F1000Personnel</f>
        <v>0</v>
      </c>
      <c r="E7" s="233"/>
      <c r="F7" s="234"/>
      <c r="G7" s="234"/>
      <c r="H7" s="234"/>
      <c r="I7" s="234"/>
      <c r="J7" s="1639"/>
      <c r="K7" s="234"/>
      <c r="L7" s="1450">
        <f>[1]!F071F1000</f>
        <v>0</v>
      </c>
      <c r="M7" s="1466">
        <f>SUM(F8:K8)</f>
        <v>0</v>
      </c>
      <c r="N7" s="1642">
        <f>IF(L7=M7,0,IF(L7&gt;0,(M7-L7)/L7,""))</f>
        <v>0</v>
      </c>
      <c r="O7" s="783"/>
    </row>
    <row r="8" spans="1:17" ht="13.5" customHeight="1">
      <c r="A8" s="136" t="s">
        <v>160</v>
      </c>
      <c r="B8" s="124"/>
      <c r="C8" s="235" t="s">
        <v>6</v>
      </c>
      <c r="D8" s="1646"/>
      <c r="E8" s="36"/>
      <c r="F8" s="4"/>
      <c r="G8" s="4"/>
      <c r="H8" s="4"/>
      <c r="I8" s="4"/>
      <c r="J8" s="1640"/>
      <c r="K8" s="4"/>
      <c r="L8" s="1457"/>
      <c r="M8" s="1451"/>
      <c r="N8" s="1643"/>
      <c r="O8" s="237" t="s">
        <v>6</v>
      </c>
      <c r="P8" s="131"/>
    </row>
    <row r="9" spans="1:17" ht="13.5" customHeight="1">
      <c r="A9" s="136" t="s">
        <v>161</v>
      </c>
      <c r="B9" s="124"/>
      <c r="C9" s="235" t="s">
        <v>53</v>
      </c>
      <c r="D9" s="1461">
        <f>[1]!F071F2100Personnel</f>
        <v>0</v>
      </c>
      <c r="E9" s="233"/>
      <c r="F9" s="234"/>
      <c r="G9" s="234"/>
      <c r="H9" s="234"/>
      <c r="I9" s="234"/>
      <c r="J9" s="1639"/>
      <c r="K9" s="234"/>
      <c r="L9" s="1450">
        <f>[1]!F071F2100</f>
        <v>0</v>
      </c>
      <c r="M9" s="1466">
        <f>SUM(F10:K10)</f>
        <v>0</v>
      </c>
      <c r="N9" s="1642">
        <f>IF(L9=M9,0,IF(L9&gt;0,(M9-L9)/L9,""))</f>
        <v>0</v>
      </c>
      <c r="O9" s="237" t="s">
        <v>53</v>
      </c>
      <c r="P9" s="131"/>
    </row>
    <row r="10" spans="1:17" ht="13.5" customHeight="1">
      <c r="A10" s="136" t="s">
        <v>162</v>
      </c>
      <c r="B10" s="124"/>
      <c r="C10" s="235" t="s">
        <v>9</v>
      </c>
      <c r="D10" s="1646"/>
      <c r="E10" s="36"/>
      <c r="F10" s="4"/>
      <c r="G10" s="4"/>
      <c r="H10" s="4"/>
      <c r="I10" s="4"/>
      <c r="J10" s="1640"/>
      <c r="K10" s="4"/>
      <c r="L10" s="1457"/>
      <c r="M10" s="1451"/>
      <c r="N10" s="1643"/>
      <c r="O10" s="237" t="s">
        <v>9</v>
      </c>
      <c r="P10" s="131"/>
    </row>
    <row r="11" spans="1:17" ht="13.5" customHeight="1">
      <c r="A11" s="136" t="s">
        <v>163</v>
      </c>
      <c r="B11" s="124"/>
      <c r="C11" s="235" t="s">
        <v>24</v>
      </c>
      <c r="D11" s="255">
        <f>[1]!F071F2200Personnel</f>
        <v>0</v>
      </c>
      <c r="E11" s="12"/>
      <c r="F11" s="5"/>
      <c r="G11" s="5"/>
      <c r="H11" s="5"/>
      <c r="I11" s="5"/>
      <c r="J11" s="784"/>
      <c r="K11" s="5"/>
      <c r="L11" s="240">
        <f>[1]!F071F2200</f>
        <v>0</v>
      </c>
      <c r="M11" s="236">
        <f t="shared" ref="M11:M17" si="0">SUM(F11:K11)</f>
        <v>0</v>
      </c>
      <c r="N11" s="256">
        <f t="shared" ref="N11:N19" si="1">IF(L11=M11,0,IF(L11&gt;0,(M11-L11)/L11,""))</f>
        <v>0</v>
      </c>
      <c r="O11" s="237" t="s">
        <v>24</v>
      </c>
      <c r="P11" s="131"/>
    </row>
    <row r="12" spans="1:17" ht="13.5" customHeight="1">
      <c r="A12" s="136" t="s">
        <v>164</v>
      </c>
      <c r="B12" s="124"/>
      <c r="C12" s="235" t="s">
        <v>51</v>
      </c>
      <c r="D12" s="255">
        <f>[1]!F071F2300Personnel</f>
        <v>0</v>
      </c>
      <c r="E12" s="12"/>
      <c r="F12" s="5"/>
      <c r="G12" s="5"/>
      <c r="H12" s="5"/>
      <c r="I12" s="5"/>
      <c r="J12" s="784"/>
      <c r="K12" s="5"/>
      <c r="L12" s="240">
        <f>[1]!F071F2300</f>
        <v>0</v>
      </c>
      <c r="M12" s="236">
        <f t="shared" si="0"/>
        <v>0</v>
      </c>
      <c r="N12" s="256">
        <f t="shared" si="1"/>
        <v>0</v>
      </c>
      <c r="O12" s="237" t="s">
        <v>51</v>
      </c>
      <c r="P12" s="131"/>
    </row>
    <row r="13" spans="1:17" ht="13.5" customHeight="1">
      <c r="A13" s="136" t="s">
        <v>165</v>
      </c>
      <c r="B13" s="124"/>
      <c r="C13" s="235" t="s">
        <v>166</v>
      </c>
      <c r="D13" s="255">
        <f>[1]!F071F2400Personnel</f>
        <v>0</v>
      </c>
      <c r="E13" s="12"/>
      <c r="F13" s="5"/>
      <c r="G13" s="5"/>
      <c r="H13" s="5"/>
      <c r="I13" s="5"/>
      <c r="J13" s="784"/>
      <c r="K13" s="5"/>
      <c r="L13" s="240">
        <f>[1]!F071F2400</f>
        <v>0</v>
      </c>
      <c r="M13" s="236">
        <f t="shared" si="0"/>
        <v>0</v>
      </c>
      <c r="N13" s="256">
        <f t="shared" si="1"/>
        <v>0</v>
      </c>
      <c r="O13" s="237" t="s">
        <v>166</v>
      </c>
      <c r="P13" s="131"/>
    </row>
    <row r="14" spans="1:17" ht="13.5" customHeight="1">
      <c r="A14" s="136" t="s">
        <v>167</v>
      </c>
      <c r="B14" s="124"/>
      <c r="C14" s="235" t="s">
        <v>168</v>
      </c>
      <c r="D14" s="255">
        <f>[1]!F071F2500Personnel</f>
        <v>0</v>
      </c>
      <c r="E14" s="12"/>
      <c r="F14" s="5"/>
      <c r="G14" s="5"/>
      <c r="H14" s="5"/>
      <c r="I14" s="5"/>
      <c r="J14" s="784"/>
      <c r="K14" s="5"/>
      <c r="L14" s="240">
        <f>[1]!F071F2500</f>
        <v>0</v>
      </c>
      <c r="M14" s="236">
        <f t="shared" si="0"/>
        <v>0</v>
      </c>
      <c r="N14" s="256">
        <f t="shared" si="1"/>
        <v>0</v>
      </c>
      <c r="O14" s="237" t="s">
        <v>168</v>
      </c>
      <c r="P14" s="131"/>
    </row>
    <row r="15" spans="1:17" ht="13.5" customHeight="1">
      <c r="A15" s="136" t="s">
        <v>169</v>
      </c>
      <c r="B15" s="124"/>
      <c r="C15" s="235" t="s">
        <v>170</v>
      </c>
      <c r="D15" s="255">
        <f>[1]!F071F2600Personnel</f>
        <v>0</v>
      </c>
      <c r="E15" s="12"/>
      <c r="F15" s="5"/>
      <c r="G15" s="5"/>
      <c r="H15" s="5"/>
      <c r="I15" s="5"/>
      <c r="J15" s="784"/>
      <c r="K15" s="5"/>
      <c r="L15" s="240">
        <f>[1]!F071F2600</f>
        <v>0</v>
      </c>
      <c r="M15" s="236">
        <f t="shared" si="0"/>
        <v>0</v>
      </c>
      <c r="N15" s="256">
        <f t="shared" si="1"/>
        <v>0</v>
      </c>
      <c r="O15" s="237" t="s">
        <v>170</v>
      </c>
      <c r="P15" s="131"/>
    </row>
    <row r="16" spans="1:17" ht="13.5" customHeight="1">
      <c r="A16" s="136" t="s">
        <v>533</v>
      </c>
      <c r="B16" s="124"/>
      <c r="C16" s="235" t="s">
        <v>172</v>
      </c>
      <c r="D16" s="255">
        <f>[1]!F071F2700Personnel</f>
        <v>0</v>
      </c>
      <c r="E16" s="12"/>
      <c r="F16" s="5"/>
      <c r="G16" s="5"/>
      <c r="H16" s="5"/>
      <c r="I16" s="5"/>
      <c r="J16" s="784"/>
      <c r="K16" s="5"/>
      <c r="L16" s="240">
        <f>[1]!F071F2700</f>
        <v>0</v>
      </c>
      <c r="M16" s="236">
        <f t="shared" si="0"/>
        <v>0</v>
      </c>
      <c r="N16" s="256">
        <f t="shared" si="1"/>
        <v>0</v>
      </c>
      <c r="O16" s="237" t="s">
        <v>172</v>
      </c>
      <c r="P16" s="131"/>
    </row>
    <row r="17" spans="1:16" ht="13.5" customHeight="1">
      <c r="A17" s="136" t="s">
        <v>171</v>
      </c>
      <c r="B17" s="124"/>
      <c r="C17" s="235" t="s">
        <v>174</v>
      </c>
      <c r="D17" s="255">
        <f>[1]!F071F2900Personnel</f>
        <v>0</v>
      </c>
      <c r="E17" s="12"/>
      <c r="F17" s="5"/>
      <c r="G17" s="5"/>
      <c r="H17" s="5"/>
      <c r="I17" s="5"/>
      <c r="J17" s="784"/>
      <c r="K17" s="5"/>
      <c r="L17" s="240">
        <f>[1]!F071F2900</f>
        <v>0</v>
      </c>
      <c r="M17" s="236">
        <f t="shared" si="0"/>
        <v>0</v>
      </c>
      <c r="N17" s="256">
        <f t="shared" si="1"/>
        <v>0</v>
      </c>
      <c r="O17" s="237" t="s">
        <v>174</v>
      </c>
      <c r="P17" s="131"/>
    </row>
    <row r="18" spans="1:16" ht="13.5" customHeight="1">
      <c r="A18" s="785" t="s">
        <v>534</v>
      </c>
      <c r="B18" s="786"/>
      <c r="C18" s="787" t="s">
        <v>176</v>
      </c>
      <c r="D18" s="255">
        <f>SUM(D7:D17)</f>
        <v>0</v>
      </c>
      <c r="E18" s="255">
        <f>E8+SUM(E10:E17)</f>
        <v>0</v>
      </c>
      <c r="F18" s="260">
        <f>F8+SUM(F10:F17)</f>
        <v>0</v>
      </c>
      <c r="G18" s="260">
        <f>G8+SUM(G10:G17)</f>
        <v>0</v>
      </c>
      <c r="H18" s="260">
        <f>H8+SUM(H10:H17)</f>
        <v>0</v>
      </c>
      <c r="I18" s="260">
        <f>I8+SUM(I10:I17)</f>
        <v>0</v>
      </c>
      <c r="J18" s="788"/>
      <c r="K18" s="260">
        <f>K8+SUM(K10:K17)</f>
        <v>0</v>
      </c>
      <c r="L18" s="260">
        <f>SUM(L7:L17)</f>
        <v>0</v>
      </c>
      <c r="M18" s="260">
        <f>SUM(M7:M17)</f>
        <v>0</v>
      </c>
      <c r="N18" s="256">
        <f t="shared" si="1"/>
        <v>0</v>
      </c>
      <c r="O18" s="476" t="s">
        <v>176</v>
      </c>
      <c r="P18" s="131"/>
    </row>
    <row r="19" spans="1:16" ht="13.5" customHeight="1">
      <c r="A19" s="1637" t="s">
        <v>535</v>
      </c>
      <c r="B19" s="1638"/>
      <c r="C19" s="789"/>
      <c r="D19" s="1452">
        <f>[1]!F072F1000Personnel</f>
        <v>0</v>
      </c>
      <c r="E19" s="233"/>
      <c r="F19" s="234"/>
      <c r="G19" s="234"/>
      <c r="H19" s="234"/>
      <c r="I19" s="234"/>
      <c r="J19" s="1639"/>
      <c r="K19" s="234"/>
      <c r="L19" s="1450">
        <f>[1]!F072F1000</f>
        <v>0</v>
      </c>
      <c r="M19" s="1466">
        <f>SUM(F20:K20)</f>
        <v>0</v>
      </c>
      <c r="N19" s="1455">
        <f t="shared" si="1"/>
        <v>0</v>
      </c>
      <c r="O19" s="783"/>
    </row>
    <row r="20" spans="1:16" ht="13.5" customHeight="1">
      <c r="A20" s="136" t="s">
        <v>160</v>
      </c>
      <c r="B20" s="124"/>
      <c r="C20" s="235" t="s">
        <v>178</v>
      </c>
      <c r="D20" s="1641"/>
      <c r="E20" s="36"/>
      <c r="F20" s="4"/>
      <c r="G20" s="4"/>
      <c r="H20" s="4"/>
      <c r="I20" s="4"/>
      <c r="J20" s="1640"/>
      <c r="K20" s="4"/>
      <c r="L20" s="1457"/>
      <c r="M20" s="1451"/>
      <c r="N20" s="1456"/>
      <c r="O20" s="237" t="s">
        <v>178</v>
      </c>
      <c r="P20" s="131"/>
    </row>
    <row r="21" spans="1:16" ht="13.5" customHeight="1">
      <c r="A21" s="136" t="s">
        <v>161</v>
      </c>
      <c r="B21" s="124"/>
      <c r="C21" s="235"/>
      <c r="D21" s="1452">
        <f>[1]!F072F2100Personnel</f>
        <v>0</v>
      </c>
      <c r="E21" s="233"/>
      <c r="F21" s="234"/>
      <c r="G21" s="234"/>
      <c r="H21" s="234"/>
      <c r="I21" s="234"/>
      <c r="J21" s="1639"/>
      <c r="K21" s="234"/>
      <c r="L21" s="1450">
        <f>[1]!F072F2100</f>
        <v>0</v>
      </c>
      <c r="M21" s="1466">
        <f>SUM(F22:K22)</f>
        <v>0</v>
      </c>
      <c r="N21" s="1455">
        <f>IF(L21=M21,0,IF(L21&gt;0,(M21-L21)/L21,""))</f>
        <v>0</v>
      </c>
      <c r="O21" s="237" t="s">
        <v>53</v>
      </c>
      <c r="P21" s="131"/>
    </row>
    <row r="22" spans="1:16" ht="13.5" customHeight="1">
      <c r="A22" s="136" t="s">
        <v>162</v>
      </c>
      <c r="B22" s="124"/>
      <c r="C22" s="235" t="s">
        <v>180</v>
      </c>
      <c r="D22" s="1641"/>
      <c r="E22" s="36"/>
      <c r="F22" s="4"/>
      <c r="G22" s="4"/>
      <c r="H22" s="4"/>
      <c r="I22" s="4"/>
      <c r="J22" s="1640"/>
      <c r="K22" s="4"/>
      <c r="L22" s="1457"/>
      <c r="M22" s="1451"/>
      <c r="N22" s="1456"/>
      <c r="O22" s="237" t="s">
        <v>180</v>
      </c>
      <c r="P22" s="131"/>
    </row>
    <row r="23" spans="1:16" ht="13.5" customHeight="1">
      <c r="A23" s="136" t="s">
        <v>163</v>
      </c>
      <c r="B23" s="124"/>
      <c r="C23" s="235" t="s">
        <v>182</v>
      </c>
      <c r="D23" s="259">
        <f>[1]!F072F2200Personnel</f>
        <v>0</v>
      </c>
      <c r="E23" s="12"/>
      <c r="F23" s="5"/>
      <c r="G23" s="5"/>
      <c r="H23" s="5"/>
      <c r="I23" s="5"/>
      <c r="J23" s="784"/>
      <c r="K23" s="5"/>
      <c r="L23" s="790">
        <f>[1]!F072F2200</f>
        <v>0</v>
      </c>
      <c r="M23" s="236">
        <f t="shared" ref="M23:M29" si="2">SUM(F23:K23)</f>
        <v>0</v>
      </c>
      <c r="N23" s="242">
        <f t="shared" ref="N23:N30" si="3">IF(L23=M23,0,IF(L23&gt;0,(M23-L23)/L23,""))</f>
        <v>0</v>
      </c>
      <c r="O23" s="237" t="s">
        <v>182</v>
      </c>
      <c r="P23" s="131"/>
    </row>
    <row r="24" spans="1:16" ht="13.5" customHeight="1">
      <c r="A24" s="136" t="s">
        <v>164</v>
      </c>
      <c r="B24" s="124"/>
      <c r="C24" s="235" t="s">
        <v>184</v>
      </c>
      <c r="D24" s="259">
        <f>[1]!F072F2300Personnel</f>
        <v>0</v>
      </c>
      <c r="E24" s="12"/>
      <c r="F24" s="5"/>
      <c r="G24" s="5"/>
      <c r="H24" s="5"/>
      <c r="I24" s="5"/>
      <c r="J24" s="784"/>
      <c r="K24" s="5"/>
      <c r="L24" s="241">
        <f>[1]!F072F2300</f>
        <v>0</v>
      </c>
      <c r="M24" s="236">
        <f t="shared" si="2"/>
        <v>0</v>
      </c>
      <c r="N24" s="242">
        <f t="shared" si="3"/>
        <v>0</v>
      </c>
      <c r="O24" s="237" t="s">
        <v>184</v>
      </c>
      <c r="P24" s="131"/>
    </row>
    <row r="25" spans="1:16" ht="13.5" customHeight="1">
      <c r="A25" s="136" t="s">
        <v>165</v>
      </c>
      <c r="B25" s="124"/>
      <c r="C25" s="235" t="s">
        <v>186</v>
      </c>
      <c r="D25" s="259">
        <f>[1]!F072F2400Personnel</f>
        <v>0</v>
      </c>
      <c r="E25" s="12"/>
      <c r="F25" s="5"/>
      <c r="G25" s="5"/>
      <c r="H25" s="5"/>
      <c r="I25" s="5"/>
      <c r="J25" s="784"/>
      <c r="K25" s="5"/>
      <c r="L25" s="241">
        <f>[1]!F072F2400</f>
        <v>0</v>
      </c>
      <c r="M25" s="236">
        <f t="shared" si="2"/>
        <v>0</v>
      </c>
      <c r="N25" s="242">
        <f t="shared" si="3"/>
        <v>0</v>
      </c>
      <c r="O25" s="237" t="s">
        <v>186</v>
      </c>
      <c r="P25" s="131"/>
    </row>
    <row r="26" spans="1:16" ht="13.5" customHeight="1">
      <c r="A26" s="136" t="s">
        <v>167</v>
      </c>
      <c r="B26" s="124"/>
      <c r="C26" s="235" t="s">
        <v>187</v>
      </c>
      <c r="D26" s="259">
        <f>[1]!F072F2500Personnel</f>
        <v>0</v>
      </c>
      <c r="E26" s="12"/>
      <c r="F26" s="5"/>
      <c r="G26" s="5"/>
      <c r="H26" s="5"/>
      <c r="I26" s="5"/>
      <c r="J26" s="784"/>
      <c r="K26" s="5"/>
      <c r="L26" s="241">
        <f>[1]!F072F2500</f>
        <v>0</v>
      </c>
      <c r="M26" s="236">
        <f t="shared" si="2"/>
        <v>0</v>
      </c>
      <c r="N26" s="242">
        <f t="shared" si="3"/>
        <v>0</v>
      </c>
      <c r="O26" s="237" t="s">
        <v>187</v>
      </c>
      <c r="P26" s="131"/>
    </row>
    <row r="27" spans="1:16" ht="13.5" customHeight="1">
      <c r="A27" s="136" t="s">
        <v>169</v>
      </c>
      <c r="B27" s="124"/>
      <c r="C27" s="235" t="s">
        <v>188</v>
      </c>
      <c r="D27" s="259">
        <f>[1]!F072F2600Personnel</f>
        <v>0</v>
      </c>
      <c r="E27" s="12"/>
      <c r="F27" s="5"/>
      <c r="G27" s="5"/>
      <c r="H27" s="5"/>
      <c r="I27" s="5"/>
      <c r="J27" s="784"/>
      <c r="K27" s="5"/>
      <c r="L27" s="241">
        <f>[1]!F072F2600</f>
        <v>0</v>
      </c>
      <c r="M27" s="236">
        <f t="shared" si="2"/>
        <v>0</v>
      </c>
      <c r="N27" s="242">
        <f t="shared" si="3"/>
        <v>0</v>
      </c>
      <c r="O27" s="237" t="s">
        <v>188</v>
      </c>
      <c r="P27" s="131"/>
    </row>
    <row r="28" spans="1:16" ht="13.5" customHeight="1">
      <c r="A28" s="136" t="s">
        <v>533</v>
      </c>
      <c r="B28" s="124"/>
      <c r="C28" s="235" t="s">
        <v>189</v>
      </c>
      <c r="D28" s="259">
        <f>[1]!F072F2700Personnel</f>
        <v>0</v>
      </c>
      <c r="E28" s="12"/>
      <c r="F28" s="5"/>
      <c r="G28" s="5"/>
      <c r="H28" s="5"/>
      <c r="I28" s="5"/>
      <c r="J28" s="784"/>
      <c r="K28" s="5"/>
      <c r="L28" s="241">
        <f>[1]!F072F2700</f>
        <v>0</v>
      </c>
      <c r="M28" s="236">
        <f t="shared" si="2"/>
        <v>0</v>
      </c>
      <c r="N28" s="242">
        <f t="shared" si="3"/>
        <v>0</v>
      </c>
      <c r="O28" s="237" t="s">
        <v>189</v>
      </c>
      <c r="P28" s="131"/>
    </row>
    <row r="29" spans="1:16" ht="13.5" customHeight="1">
      <c r="A29" s="136" t="s">
        <v>171</v>
      </c>
      <c r="B29" s="124"/>
      <c r="C29" s="235" t="s">
        <v>190</v>
      </c>
      <c r="D29" s="259">
        <f>[1]!F072F2900Personnel</f>
        <v>0</v>
      </c>
      <c r="E29" s="12"/>
      <c r="F29" s="5"/>
      <c r="G29" s="5"/>
      <c r="H29" s="5"/>
      <c r="I29" s="5"/>
      <c r="J29" s="784"/>
      <c r="K29" s="5"/>
      <c r="L29" s="241">
        <f>[1]!F072F2900</f>
        <v>0</v>
      </c>
      <c r="M29" s="236">
        <f t="shared" si="2"/>
        <v>0</v>
      </c>
      <c r="N29" s="242">
        <f t="shared" si="3"/>
        <v>0</v>
      </c>
      <c r="O29" s="237" t="s">
        <v>190</v>
      </c>
      <c r="P29" s="131"/>
    </row>
    <row r="30" spans="1:16" ht="13.5" customHeight="1">
      <c r="A30" s="785" t="s">
        <v>536</v>
      </c>
      <c r="B30" s="786"/>
      <c r="C30" s="787" t="s">
        <v>191</v>
      </c>
      <c r="D30" s="255">
        <f>SUM(D19:D29)</f>
        <v>0</v>
      </c>
      <c r="E30" s="255">
        <f>E20+SUM(E22:E29)</f>
        <v>0</v>
      </c>
      <c r="F30" s="260">
        <f>F20+SUM(F22:F29)</f>
        <v>0</v>
      </c>
      <c r="G30" s="260">
        <f>G20+SUM(G22:G29)</f>
        <v>0</v>
      </c>
      <c r="H30" s="260">
        <f>H20+SUM(H22:H29)</f>
        <v>0</v>
      </c>
      <c r="I30" s="260">
        <f>I20+SUM(I22:I29)</f>
        <v>0</v>
      </c>
      <c r="J30" s="788"/>
      <c r="K30" s="260">
        <f>K20+SUM(K22:K29)</f>
        <v>0</v>
      </c>
      <c r="L30" s="260">
        <f>SUM(L19:L29)</f>
        <v>0</v>
      </c>
      <c r="M30" s="260">
        <f>SUM(M19:M29)</f>
        <v>0</v>
      </c>
      <c r="N30" s="242">
        <f t="shared" si="3"/>
        <v>0</v>
      </c>
      <c r="O30" s="476" t="s">
        <v>191</v>
      </c>
      <c r="P30" s="131"/>
    </row>
    <row r="31" spans="1:16" ht="9" customHeight="1"/>
  </sheetData>
  <sheetProtection sheet="1" formatCells="0" formatColumns="0" formatRows="0"/>
  <mergeCells count="27">
    <mergeCell ref="N1:O1"/>
    <mergeCell ref="N7:N8"/>
    <mergeCell ref="M7:M8"/>
    <mergeCell ref="M9:M10"/>
    <mergeCell ref="N9:N10"/>
    <mergeCell ref="A2:N2"/>
    <mergeCell ref="B1:E1"/>
    <mergeCell ref="D9:D10"/>
    <mergeCell ref="G1:H1"/>
    <mergeCell ref="A4:B4"/>
    <mergeCell ref="A7:B7"/>
    <mergeCell ref="J7:J8"/>
    <mergeCell ref="J9:J10"/>
    <mergeCell ref="L7:L8"/>
    <mergeCell ref="D7:D8"/>
    <mergeCell ref="L9:L10"/>
    <mergeCell ref="A19:B19"/>
    <mergeCell ref="L21:L22"/>
    <mergeCell ref="M21:M22"/>
    <mergeCell ref="N21:N22"/>
    <mergeCell ref="J21:J22"/>
    <mergeCell ref="N19:N20"/>
    <mergeCell ref="J19:J20"/>
    <mergeCell ref="L19:L20"/>
    <mergeCell ref="D21:D22"/>
    <mergeCell ref="D19:D20"/>
    <mergeCell ref="M19:M20"/>
  </mergeCells>
  <printOptions horizontalCentered="1"/>
  <pageMargins left="0.25" right="0.25" top="0.25" bottom="0.25" header="0" footer="0.25"/>
  <pageSetup paperSize="5" scale="92" orientation="landscape" r:id="rId1"/>
  <headerFooter alignWithMargins="0">
    <oddFooter>&amp;L&amp;"Times New Roman,Bold"&amp;9Rev. 5/23 Arizona Department of Education and Auditor General&amp;R&amp;"Times New Roman,Bold"&amp;9Supplement</oddFooter>
  </headerFooter>
  <ignoredErrors>
    <ignoredError sqref="K6 G6:H6" numberStoredAsText="1"/>
  </ignoredErrors>
  <drawing r:id="rId2"/>
</worksheet>
</file>

<file path=xl/worksheets/sheet12.xml><?xml version="1.0" encoding="utf-8"?>
<worksheet xmlns="http://schemas.openxmlformats.org/spreadsheetml/2006/main" xmlns:r="http://schemas.openxmlformats.org/officeDocument/2006/relationships">
  <sheetPr>
    <pageSetUpPr fitToPage="1"/>
  </sheetPr>
  <dimension ref="A1:V271"/>
  <sheetViews>
    <sheetView showGridLines="0" topLeftCell="A25" workbookViewId="0">
      <selection activeCell="D13" sqref="D13"/>
    </sheetView>
  </sheetViews>
  <sheetFormatPr defaultColWidth="8.54296875" defaultRowHeight="10.199999999999999"/>
  <cols>
    <col min="1" max="1" width="17" style="795" customWidth="1"/>
    <col min="2" max="2" width="6.54296875" style="795" customWidth="1"/>
    <col min="3" max="3" width="12.08984375" style="795" customWidth="1"/>
    <col min="4" max="8" width="8.90625" style="795" customWidth="1"/>
    <col min="9" max="9" width="10" style="795" customWidth="1"/>
    <col min="10" max="10" width="2" style="795" customWidth="1"/>
    <col min="11" max="11" width="10" style="795" customWidth="1"/>
    <col min="12" max="12" width="8.90625" style="795" customWidth="1"/>
    <col min="13" max="255" width="5.90625" style="795" customWidth="1"/>
    <col min="256" max="257" width="8.54296875" style="795" customWidth="1"/>
    <col min="258" max="16384" width="8.54296875" style="795"/>
  </cols>
  <sheetData>
    <row r="1" spans="1:22" ht="15">
      <c r="A1" s="791" t="str">
        <f>IF(OR(Version="Proposed",Version=""),"SUMMARY OF SCHOOL DISTRICT PROPOSED EXPENDITURE BUDGET",IF(Version="Adopted","SUMMARY OF SCHOOL DISTRICT ADOPTED EXPENDITURE BUDGET","SUMMARY OF SCHOOL DISTRICT REVISED EXPENDITURE BUDGET"))</f>
        <v>SUMMARY OF SCHOOL DISTRICT PROPOSED EXPENDITURE BUDGET</v>
      </c>
      <c r="B1" s="791"/>
      <c r="C1" s="791"/>
      <c r="D1" s="791"/>
      <c r="E1" s="791"/>
      <c r="F1" s="791"/>
      <c r="G1" s="791"/>
      <c r="H1" s="791" t="s">
        <v>439</v>
      </c>
      <c r="I1" s="792" t="str">
        <f>CTD</f>
        <v>020522000</v>
      </c>
      <c r="J1" s="793"/>
      <c r="K1" s="794" t="s">
        <v>537</v>
      </c>
      <c r="L1" s="193"/>
    </row>
    <row r="2" spans="1:22" ht="12" customHeight="1">
      <c r="B2" s="352"/>
      <c r="C2" s="352"/>
      <c r="D2" s="352"/>
      <c r="E2" s="352"/>
      <c r="F2" s="352"/>
      <c r="G2" s="352"/>
      <c r="H2" s="796" t="s">
        <v>74</v>
      </c>
      <c r="I2" s="797" t="str">
        <f>Cover!C8</f>
        <v>Proposed</v>
      </c>
      <c r="J2" s="445"/>
      <c r="K2" s="794" t="s">
        <v>538</v>
      </c>
      <c r="L2" s="794" t="s">
        <v>539</v>
      </c>
      <c r="M2" s="445"/>
      <c r="N2" s="445"/>
      <c r="O2" s="445"/>
      <c r="P2" s="445"/>
      <c r="Q2" s="445"/>
      <c r="R2" s="445"/>
      <c r="S2" s="445"/>
      <c r="T2" s="445"/>
      <c r="U2" s="445"/>
      <c r="V2" s="445"/>
    </row>
    <row r="3" spans="1:22" ht="15" customHeight="1">
      <c r="A3" s="798" t="s">
        <v>540</v>
      </c>
      <c r="B3" s="1694" t="s">
        <v>1393</v>
      </c>
      <c r="C3" s="1694"/>
      <c r="D3" s="1676"/>
      <c r="E3" s="799" t="s">
        <v>541</v>
      </c>
      <c r="F3" s="112" t="s">
        <v>1359</v>
      </c>
      <c r="G3" s="1693" t="s">
        <v>542</v>
      </c>
      <c r="H3" s="1693"/>
      <c r="I3" s="1693"/>
      <c r="J3" s="445"/>
      <c r="K3" s="794" t="s">
        <v>543</v>
      </c>
      <c r="L3" s="800" t="s">
        <v>544</v>
      </c>
      <c r="M3" s="445"/>
      <c r="N3" s="445"/>
      <c r="O3" s="445"/>
      <c r="P3" s="445"/>
      <c r="Q3" s="445"/>
      <c r="R3" s="445"/>
      <c r="S3" s="445"/>
      <c r="T3" s="445"/>
      <c r="U3" s="445"/>
      <c r="V3" s="445"/>
    </row>
    <row r="4" spans="1:22" ht="12" customHeight="1">
      <c r="A4" s="798" t="str">
        <f>IF(OR(I2="Proposed",I2=0),K1,IF(I2="Adopted",L2,K2))</f>
        <v>proposed by the Governing Board on,</v>
      </c>
      <c r="C4" s="1373">
        <v>45092</v>
      </c>
      <c r="D4" s="1695" t="str">
        <f>IF(OR(I2="Proposed",I2=0),K3,IF(I2="Adopted",L3,K4))</f>
        <v>, and that the complete Proposed Expenditure Budget may be reviewed by contacting</v>
      </c>
      <c r="E4" s="1695">
        <f>IF(ISNUMBER(SEARCH("Revised*",M2)),O2,O1)</f>
        <v>0</v>
      </c>
      <c r="F4" s="1695">
        <f>IF(ISNUMBER(SEARCH("Revised*",N2)),P2,P1)</f>
        <v>0</v>
      </c>
      <c r="G4" s="1695">
        <f>IF(ISNUMBER(SEARCH("Revised*",O2)),Q2,Q1)</f>
        <v>0</v>
      </c>
      <c r="H4" s="1695">
        <f>IF(ISNUMBER(SEARCH("Revised*",P2)),R2,R1)</f>
        <v>0</v>
      </c>
      <c r="I4" s="1695">
        <f>IF(ISNUMBER(SEARCH("Revised*",Q2)),S2,S1)</f>
        <v>0</v>
      </c>
      <c r="J4" s="445"/>
      <c r="K4" s="794" t="s">
        <v>545</v>
      </c>
      <c r="L4" s="801"/>
      <c r="M4" s="445"/>
      <c r="N4" s="445"/>
      <c r="O4" s="445"/>
      <c r="P4" s="445"/>
      <c r="Q4" s="445"/>
      <c r="R4" s="445"/>
      <c r="S4" s="445"/>
      <c r="T4" s="445"/>
      <c r="U4" s="445"/>
      <c r="V4" s="445"/>
    </row>
    <row r="5" spans="1:22" ht="12" customHeight="1">
      <c r="A5" s="32" t="s">
        <v>1361</v>
      </c>
      <c r="B5" s="1698" t="s">
        <v>546</v>
      </c>
      <c r="C5" s="1699"/>
      <c r="D5" s="1675" t="s">
        <v>1391</v>
      </c>
      <c r="E5" s="1676"/>
      <c r="F5" s="1695" t="s">
        <v>547</v>
      </c>
      <c r="G5" s="1695"/>
      <c r="H5" s="1695"/>
      <c r="I5" s="1697" t="str">
        <f>IF(I10&lt;1,"Enter average salaries on Budget Cover","")</f>
        <v/>
      </c>
      <c r="K5" s="1670" t="str">
        <f>IF(AND(ISNUMBER(SEARCH("Revised*",I2)),Cover!E15=""),"Enter revised date on Budget Cover",IF(AND(ISNUMBER(SEARCH("Proposed*",I2)),Cover!E13=""),"Enter proposed date on Budget Cover",""))</f>
        <v/>
      </c>
      <c r="L5" s="445"/>
      <c r="M5" s="445"/>
      <c r="N5" s="445"/>
      <c r="O5" s="445"/>
      <c r="P5" s="445"/>
      <c r="Q5" s="445"/>
      <c r="R5" s="445"/>
      <c r="S5" s="445"/>
      <c r="T5" s="445"/>
      <c r="U5" s="445"/>
      <c r="V5" s="445"/>
    </row>
    <row r="6" spans="1:22" ht="11.4">
      <c r="A6" s="802"/>
      <c r="B6" s="802"/>
      <c r="C6" s="803"/>
      <c r="D6" s="803"/>
      <c r="E6" s="1696"/>
      <c r="F6" s="1696"/>
      <c r="G6" s="1696"/>
      <c r="H6" s="802"/>
      <c r="I6" s="1697"/>
      <c r="J6" s="804"/>
      <c r="K6" s="1670"/>
      <c r="L6" s="445"/>
      <c r="M6" s="445"/>
      <c r="N6" s="445"/>
      <c r="O6" s="445"/>
      <c r="P6" s="445"/>
      <c r="Q6" s="445"/>
      <c r="R6" s="445"/>
      <c r="S6" s="445"/>
      <c r="T6" s="445"/>
      <c r="U6" s="445"/>
      <c r="V6" s="445"/>
    </row>
    <row r="7" spans="1:22" ht="11.4">
      <c r="A7" s="802"/>
      <c r="B7" s="803"/>
      <c r="C7" s="803"/>
      <c r="D7" s="803"/>
      <c r="E7" s="1657" t="s">
        <v>548</v>
      </c>
      <c r="F7" s="1657"/>
      <c r="G7" s="1657"/>
      <c r="H7" s="802"/>
      <c r="I7" s="1697"/>
      <c r="J7" s="804"/>
      <c r="K7" s="1670"/>
      <c r="L7" s="445"/>
      <c r="M7" s="445"/>
      <c r="N7" s="445"/>
      <c r="O7" s="445"/>
      <c r="P7" s="445"/>
      <c r="Q7" s="445"/>
      <c r="R7" s="445"/>
      <c r="S7" s="445"/>
      <c r="T7" s="445"/>
      <c r="U7" s="445"/>
      <c r="V7" s="445"/>
    </row>
    <row r="8" spans="1:22" ht="6" customHeight="1">
      <c r="A8" s="805"/>
      <c r="B8" s="805"/>
      <c r="C8" s="805"/>
      <c r="D8" s="805"/>
      <c r="E8" s="805"/>
      <c r="F8" s="805"/>
      <c r="G8" s="802"/>
      <c r="H8" s="802"/>
      <c r="I8" s="802"/>
      <c r="J8" s="445"/>
      <c r="K8" s="445"/>
      <c r="L8" s="445"/>
      <c r="M8" s="445"/>
      <c r="N8" s="445"/>
      <c r="O8" s="445"/>
      <c r="P8" s="445"/>
      <c r="Q8" s="445"/>
      <c r="R8" s="445"/>
      <c r="S8" s="445"/>
      <c r="T8" s="445"/>
      <c r="U8" s="445"/>
      <c r="V8" s="445"/>
    </row>
    <row r="9" spans="1:22" ht="11.25" customHeight="1">
      <c r="A9" s="806" t="s">
        <v>549</v>
      </c>
      <c r="B9" s="807"/>
      <c r="C9" s="808" t="s">
        <v>550</v>
      </c>
      <c r="D9" s="809" t="s">
        <v>551</v>
      </c>
      <c r="E9" s="810" t="s">
        <v>552</v>
      </c>
      <c r="F9" s="811"/>
      <c r="G9" s="812"/>
      <c r="H9" s="812"/>
      <c r="I9" s="813"/>
      <c r="J9" s="445"/>
      <c r="K9" s="445"/>
      <c r="L9" s="445"/>
      <c r="M9" s="445"/>
      <c r="N9" s="445"/>
      <c r="O9" s="445"/>
      <c r="P9" s="445"/>
      <c r="Q9" s="445"/>
      <c r="R9" s="445"/>
      <c r="S9" s="445"/>
      <c r="T9" s="445"/>
      <c r="U9" s="445"/>
      <c r="V9" s="445"/>
    </row>
    <row r="10" spans="1:22" ht="10.5" customHeight="1">
      <c r="A10" s="814"/>
      <c r="B10" s="815" t="s">
        <v>553</v>
      </c>
      <c r="C10" s="815" t="s">
        <v>554</v>
      </c>
      <c r="D10" s="816" t="s">
        <v>555</v>
      </c>
      <c r="E10" s="817" t="s">
        <v>556</v>
      </c>
      <c r="F10" s="818"/>
      <c r="G10" s="819"/>
      <c r="H10" s="124"/>
      <c r="I10" s="820">
        <f>BudgetYearSalary</f>
        <v>44789</v>
      </c>
      <c r="J10" s="445"/>
      <c r="K10" s="445"/>
      <c r="L10" s="445"/>
      <c r="M10" s="445"/>
      <c r="N10" s="445"/>
      <c r="O10" s="445"/>
      <c r="P10" s="445"/>
      <c r="Q10" s="445"/>
      <c r="R10" s="445"/>
      <c r="S10" s="445"/>
      <c r="T10" s="445"/>
      <c r="U10" s="445"/>
      <c r="V10" s="445"/>
    </row>
    <row r="11" spans="1:22" ht="10.5" customHeight="1">
      <c r="A11" s="1686" t="s">
        <v>557</v>
      </c>
      <c r="B11" s="821"/>
      <c r="C11" s="821"/>
      <c r="D11" s="822"/>
      <c r="E11" s="817" t="s">
        <v>558</v>
      </c>
      <c r="F11" s="818"/>
      <c r="G11" s="819"/>
      <c r="H11" s="124"/>
      <c r="I11" s="820">
        <f>PriorYearSalary</f>
        <v>43911</v>
      </c>
      <c r="J11" s="445"/>
      <c r="K11" s="445"/>
      <c r="M11" s="823"/>
      <c r="N11" s="445"/>
      <c r="O11" s="445"/>
      <c r="P11" s="445"/>
      <c r="Q11" s="445"/>
      <c r="R11" s="445"/>
      <c r="S11" s="445"/>
      <c r="T11" s="445"/>
      <c r="U11" s="445"/>
      <c r="V11" s="445"/>
    </row>
    <row r="12" spans="1:22" ht="11.25" customHeight="1">
      <c r="A12" s="1687"/>
      <c r="B12" s="1377">
        <v>85.660200000000003</v>
      </c>
      <c r="C12" s="1377">
        <v>79.229299999999995</v>
      </c>
      <c r="D12" s="1378">
        <v>82</v>
      </c>
      <c r="E12" s="824" t="s">
        <v>559</v>
      </c>
      <c r="F12" s="818"/>
      <c r="G12" s="819"/>
      <c r="H12" s="124"/>
      <c r="I12" s="825">
        <f>SalaryIncrease</f>
        <v>878</v>
      </c>
      <c r="J12" s="445"/>
      <c r="K12" s="445"/>
      <c r="L12" s="445"/>
      <c r="M12" s="445"/>
      <c r="N12" s="445"/>
      <c r="O12" s="445"/>
      <c r="P12" s="445"/>
      <c r="Q12" s="445"/>
      <c r="R12" s="445"/>
      <c r="S12" s="445"/>
      <c r="T12" s="445"/>
      <c r="U12" s="445"/>
      <c r="V12" s="445"/>
    </row>
    <row r="13" spans="1:22" ht="10.5" customHeight="1">
      <c r="A13" s="826" t="s">
        <v>560</v>
      </c>
      <c r="B13" s="827"/>
      <c r="C13" s="828" t="s">
        <v>215</v>
      </c>
      <c r="D13" s="829" t="s">
        <v>561</v>
      </c>
      <c r="E13" s="824" t="s">
        <v>562</v>
      </c>
      <c r="F13" s="818"/>
      <c r="G13" s="819"/>
      <c r="H13" s="124"/>
      <c r="I13" s="830">
        <f>PercentageIncrease</f>
        <v>0.02</v>
      </c>
      <c r="J13" s="445"/>
      <c r="K13" s="445"/>
      <c r="L13" s="445"/>
      <c r="M13" s="445"/>
      <c r="N13" s="445"/>
      <c r="O13" s="445"/>
      <c r="P13" s="445"/>
      <c r="Q13" s="445"/>
      <c r="R13" s="445"/>
      <c r="S13" s="445"/>
      <c r="T13" s="445"/>
      <c r="U13" s="445"/>
      <c r="V13" s="445"/>
    </row>
    <row r="14" spans="1:22" ht="10.5" customHeight="1">
      <c r="A14" s="1688" t="s">
        <v>563</v>
      </c>
      <c r="B14" s="1689"/>
      <c r="C14" s="1658">
        <f>PrimTaxRateCurrFY</f>
        <v>3.0291000000000001</v>
      </c>
      <c r="D14" s="1690">
        <f>EstTaxRateBudgFY</f>
        <v>2.6286999999999998</v>
      </c>
      <c r="E14" s="831"/>
      <c r="I14" s="832"/>
      <c r="J14" s="445"/>
      <c r="K14" s="803"/>
      <c r="P14" s="445"/>
      <c r="Q14" s="445"/>
      <c r="R14" s="445"/>
      <c r="S14" s="445"/>
      <c r="T14" s="445"/>
      <c r="U14" s="445"/>
      <c r="V14" s="445"/>
    </row>
    <row r="15" spans="1:22" ht="10.5" customHeight="1">
      <c r="A15" s="1688"/>
      <c r="B15" s="1689"/>
      <c r="C15" s="1659"/>
      <c r="D15" s="1691"/>
      <c r="E15" s="1661" t="str">
        <f>IF(SalaryComments="","",SalaryComments)</f>
        <v xml:space="preserve">Comments on average salary calculation (Optional): </v>
      </c>
      <c r="F15" s="1662"/>
      <c r="G15" s="1662"/>
      <c r="H15" s="1662"/>
      <c r="I15" s="1663"/>
      <c r="J15" s="445"/>
      <c r="K15" s="833"/>
      <c r="P15" s="445"/>
      <c r="Q15" s="445"/>
      <c r="R15" s="445"/>
      <c r="S15" s="445"/>
      <c r="T15" s="445"/>
      <c r="U15" s="445"/>
      <c r="V15" s="445"/>
    </row>
    <row r="16" spans="1:22" ht="9.75" customHeight="1">
      <c r="A16" s="1688"/>
      <c r="B16" s="1689"/>
      <c r="C16" s="1660"/>
      <c r="D16" s="1692"/>
      <c r="E16" s="1664"/>
      <c r="F16" s="1665"/>
      <c r="G16" s="1665"/>
      <c r="H16" s="1665"/>
      <c r="I16" s="1666"/>
      <c r="J16" s="445"/>
      <c r="K16" s="833"/>
      <c r="P16" s="445"/>
      <c r="Q16" s="445"/>
      <c r="R16" s="445"/>
      <c r="S16" s="445"/>
      <c r="T16" s="445"/>
      <c r="U16" s="445"/>
      <c r="V16" s="445"/>
    </row>
    <row r="17" spans="1:22" ht="9.75" customHeight="1">
      <c r="A17" s="1677" t="s">
        <v>564</v>
      </c>
      <c r="B17" s="1678"/>
      <c r="C17" s="1656">
        <f>TotSecTaxRateCurrFY</f>
        <v>0</v>
      </c>
      <c r="D17" s="1656">
        <f>TotSecTaxRateBudgFY</f>
        <v>0</v>
      </c>
      <c r="E17" s="1664"/>
      <c r="F17" s="1665"/>
      <c r="G17" s="1665"/>
      <c r="H17" s="1665"/>
      <c r="I17" s="1666"/>
      <c r="J17" s="445"/>
      <c r="K17" s="833"/>
      <c r="P17" s="445"/>
      <c r="Q17" s="445"/>
      <c r="R17" s="445"/>
      <c r="S17" s="445"/>
      <c r="T17" s="445"/>
      <c r="U17" s="445"/>
      <c r="V17" s="445"/>
    </row>
    <row r="18" spans="1:22" ht="11.25" customHeight="1">
      <c r="A18" s="1677"/>
      <c r="B18" s="1678"/>
      <c r="C18" s="1656"/>
      <c r="D18" s="1656"/>
      <c r="E18" s="1664"/>
      <c r="F18" s="1665"/>
      <c r="G18" s="1665"/>
      <c r="H18" s="1665"/>
      <c r="I18" s="1666"/>
      <c r="J18" s="445"/>
      <c r="K18" s="445"/>
      <c r="P18" s="445"/>
      <c r="Q18" s="445"/>
      <c r="R18" s="445"/>
      <c r="S18" s="445"/>
      <c r="T18" s="445"/>
      <c r="U18" s="445"/>
      <c r="V18" s="445"/>
    </row>
    <row r="19" spans="1:22" ht="11.25" customHeight="1">
      <c r="A19" s="1679"/>
      <c r="B19" s="1680"/>
      <c r="C19" s="1656"/>
      <c r="D19" s="1656"/>
      <c r="E19" s="1664"/>
      <c r="F19" s="1665"/>
      <c r="G19" s="1665"/>
      <c r="H19" s="1665"/>
      <c r="I19" s="1666"/>
      <c r="J19" s="445"/>
      <c r="K19" s="445"/>
      <c r="L19" s="445"/>
      <c r="M19" s="445"/>
      <c r="N19" s="445"/>
      <c r="O19" s="445"/>
      <c r="P19" s="445"/>
      <c r="Q19" s="445"/>
      <c r="R19" s="445"/>
      <c r="S19" s="445"/>
      <c r="T19" s="445"/>
      <c r="U19" s="445"/>
      <c r="V19" s="445"/>
    </row>
    <row r="20" spans="1:22" ht="10.5" customHeight="1">
      <c r="A20" s="826" t="s">
        <v>565</v>
      </c>
      <c r="B20" s="834"/>
      <c r="C20" s="1673" t="s">
        <v>44</v>
      </c>
      <c r="D20" s="835"/>
      <c r="E20" s="1664"/>
      <c r="F20" s="1665"/>
      <c r="G20" s="1665"/>
      <c r="H20" s="1665"/>
      <c r="I20" s="1666"/>
      <c r="J20" s="445"/>
      <c r="K20" s="445"/>
      <c r="L20" s="445"/>
      <c r="M20" s="445"/>
      <c r="N20" s="445"/>
      <c r="O20" s="445"/>
      <c r="P20" s="445"/>
      <c r="Q20" s="445"/>
      <c r="R20" s="445"/>
      <c r="S20" s="445"/>
      <c r="T20" s="445"/>
      <c r="U20" s="445"/>
      <c r="V20" s="445"/>
    </row>
    <row r="21" spans="1:22" ht="10.5" customHeight="1">
      <c r="A21" s="836"/>
      <c r="B21" s="802"/>
      <c r="C21" s="1674"/>
      <c r="D21" s="837" t="s">
        <v>45</v>
      </c>
      <c r="E21" s="1664"/>
      <c r="F21" s="1665"/>
      <c r="G21" s="1665"/>
      <c r="H21" s="1665"/>
      <c r="I21" s="1666"/>
      <c r="J21" s="445"/>
      <c r="K21" s="445"/>
      <c r="L21" s="445"/>
      <c r="M21" s="445"/>
      <c r="N21" s="445"/>
      <c r="O21" s="445"/>
      <c r="P21" s="445"/>
      <c r="Q21" s="445"/>
      <c r="R21" s="445"/>
      <c r="S21" s="445"/>
      <c r="T21" s="445"/>
      <c r="U21" s="445"/>
      <c r="V21" s="445"/>
    </row>
    <row r="22" spans="1:22" ht="10.5" customHeight="1">
      <c r="A22" s="1681" t="s">
        <v>566</v>
      </c>
      <c r="B22" s="1682"/>
      <c r="C22" s="838">
        <f>F001TotalExp</f>
        <v>2007475</v>
      </c>
      <c r="D22" s="839">
        <f>GBLBudgFY</f>
        <v>2007475</v>
      </c>
      <c r="E22" s="1664"/>
      <c r="F22" s="1665"/>
      <c r="G22" s="1665"/>
      <c r="H22" s="1665"/>
      <c r="I22" s="1666"/>
      <c r="J22" s="445"/>
      <c r="K22" s="445"/>
      <c r="L22" s="445"/>
      <c r="M22" s="445"/>
      <c r="N22" s="445"/>
      <c r="O22" s="445"/>
      <c r="P22" s="445"/>
      <c r="Q22" s="445"/>
      <c r="R22" s="445"/>
      <c r="S22" s="445"/>
      <c r="T22" s="445"/>
      <c r="U22" s="445"/>
      <c r="V22" s="445"/>
    </row>
    <row r="23" spans="1:22" ht="10.5" customHeight="1">
      <c r="A23" s="1681" t="s">
        <v>567</v>
      </c>
      <c r="B23" s="1683"/>
      <c r="C23" s="840">
        <f>F010TotalExp</f>
        <v>216290</v>
      </c>
      <c r="D23" s="841">
        <f>'Page 3'!CSFBLBudgFY</f>
        <v>216290</v>
      </c>
      <c r="E23" s="1664"/>
      <c r="F23" s="1665"/>
      <c r="G23" s="1665"/>
      <c r="H23" s="1665"/>
      <c r="I23" s="1666"/>
      <c r="J23" s="445"/>
      <c r="K23" s="445"/>
      <c r="L23" s="445"/>
      <c r="M23" s="445"/>
      <c r="N23" s="445"/>
      <c r="O23" s="445"/>
      <c r="P23" s="445"/>
      <c r="Q23" s="445"/>
      <c r="R23" s="445"/>
      <c r="S23" s="445"/>
      <c r="T23" s="445"/>
      <c r="U23" s="445"/>
      <c r="V23" s="445"/>
    </row>
    <row r="24" spans="1:22" ht="10.5" customHeight="1">
      <c r="A24" s="1684" t="s">
        <v>568</v>
      </c>
      <c r="B24" s="1685"/>
      <c r="C24" s="843">
        <f>F610TotalBudgFY</f>
        <v>509416</v>
      </c>
      <c r="D24" s="843">
        <f>UCBLBudgFY</f>
        <v>509416</v>
      </c>
      <c r="E24" s="1667"/>
      <c r="F24" s="1668"/>
      <c r="G24" s="1668"/>
      <c r="H24" s="1668"/>
      <c r="I24" s="1669"/>
      <c r="J24" s="445"/>
      <c r="K24" s="445"/>
      <c r="L24" s="445"/>
      <c r="M24" s="445"/>
      <c r="N24" s="445"/>
      <c r="O24" s="445"/>
      <c r="P24" s="445"/>
      <c r="Q24" s="445"/>
      <c r="R24" s="445"/>
      <c r="S24" s="445"/>
      <c r="T24" s="445"/>
      <c r="U24" s="445"/>
      <c r="V24" s="445"/>
    </row>
    <row r="25" spans="1:22" ht="9" customHeight="1">
      <c r="B25" s="492"/>
      <c r="C25" s="844"/>
      <c r="J25" s="445"/>
      <c r="K25" s="445"/>
      <c r="L25" s="445"/>
      <c r="M25" s="445"/>
      <c r="N25" s="445"/>
      <c r="O25" s="445"/>
      <c r="P25" s="445"/>
      <c r="Q25" s="445"/>
      <c r="R25" s="445"/>
      <c r="S25" s="445"/>
      <c r="T25" s="445"/>
      <c r="U25" s="445"/>
      <c r="V25" s="445"/>
    </row>
    <row r="26" spans="1:22" ht="8.25" customHeight="1">
      <c r="A26" s="845"/>
      <c r="B26" s="845"/>
      <c r="C26" s="846"/>
      <c r="D26" s="846"/>
      <c r="E26" s="846"/>
      <c r="F26" s="846"/>
      <c r="G26" s="846"/>
      <c r="H26" s="846"/>
      <c r="I26" s="847"/>
      <c r="J26" s="445"/>
      <c r="K26" s="445"/>
      <c r="L26" s="445"/>
      <c r="M26" s="445"/>
      <c r="N26" s="445"/>
      <c r="O26" s="445"/>
      <c r="P26" s="445"/>
      <c r="Q26" s="445"/>
      <c r="R26" s="445"/>
      <c r="S26" s="445"/>
      <c r="T26" s="445"/>
      <c r="U26" s="445"/>
      <c r="V26" s="445"/>
    </row>
    <row r="27" spans="1:22" ht="11.4">
      <c r="A27" s="1671" t="s">
        <v>569</v>
      </c>
      <c r="B27" s="1657"/>
      <c r="C27" s="1657"/>
      <c r="D27" s="1657"/>
      <c r="E27" s="1657"/>
      <c r="F27" s="1657"/>
      <c r="G27" s="1657"/>
      <c r="H27" s="1657"/>
      <c r="I27" s="1672"/>
      <c r="J27" s="445"/>
      <c r="K27" s="445"/>
      <c r="L27" s="445"/>
      <c r="M27" s="445"/>
      <c r="N27" s="445"/>
      <c r="O27" s="445"/>
      <c r="P27" s="445"/>
      <c r="Q27" s="445"/>
      <c r="R27" s="445"/>
      <c r="S27" s="445"/>
      <c r="T27" s="445"/>
      <c r="U27" s="445"/>
      <c r="V27" s="445"/>
    </row>
    <row r="28" spans="1:22" ht="11.4">
      <c r="A28" s="814"/>
      <c r="B28" s="848"/>
      <c r="C28" s="849"/>
      <c r="D28" s="850"/>
      <c r="E28" s="851"/>
      <c r="F28" s="852"/>
      <c r="G28" s="853" t="s">
        <v>53</v>
      </c>
      <c r="H28" s="854"/>
      <c r="I28" s="855" t="s">
        <v>570</v>
      </c>
      <c r="J28" s="445"/>
      <c r="K28" s="445"/>
      <c r="L28" s="445"/>
      <c r="M28" s="445"/>
      <c r="N28" s="445"/>
      <c r="O28" s="445"/>
      <c r="P28" s="445"/>
      <c r="Q28" s="445"/>
      <c r="R28" s="445"/>
      <c r="S28" s="445"/>
      <c r="T28" s="445"/>
      <c r="U28" s="445"/>
      <c r="V28" s="445"/>
    </row>
    <row r="29" spans="1:22" ht="11.4">
      <c r="A29" s="814"/>
      <c r="B29" s="805"/>
      <c r="C29" s="856" t="s">
        <v>571</v>
      </c>
      <c r="D29" s="857"/>
      <c r="E29" s="858" t="s">
        <v>147</v>
      </c>
      <c r="F29" s="859"/>
      <c r="G29" s="857" t="s">
        <v>572</v>
      </c>
      <c r="H29" s="860"/>
      <c r="I29" s="861" t="s">
        <v>573</v>
      </c>
      <c r="J29" s="445"/>
      <c r="K29" s="445"/>
      <c r="L29" s="445"/>
      <c r="M29" s="445"/>
      <c r="N29" s="445"/>
      <c r="O29" s="445"/>
      <c r="P29" s="445"/>
      <c r="Q29" s="445"/>
      <c r="R29" s="445"/>
      <c r="S29" s="445"/>
      <c r="T29" s="445"/>
      <c r="U29" s="445"/>
      <c r="V29" s="445"/>
    </row>
    <row r="30" spans="1:22" ht="11.4">
      <c r="A30" s="814"/>
      <c r="B30" s="805"/>
      <c r="C30" s="855" t="s">
        <v>215</v>
      </c>
      <c r="D30" s="855" t="s">
        <v>216</v>
      </c>
      <c r="E30" s="861" t="s">
        <v>215</v>
      </c>
      <c r="F30" s="861" t="s">
        <v>216</v>
      </c>
      <c r="G30" s="855" t="s">
        <v>215</v>
      </c>
      <c r="H30" s="855" t="s">
        <v>216</v>
      </c>
      <c r="I30" s="861" t="s">
        <v>215</v>
      </c>
      <c r="J30" s="445"/>
      <c r="K30" s="445"/>
      <c r="L30" s="445"/>
      <c r="M30" s="445"/>
      <c r="N30" s="445"/>
      <c r="O30" s="445"/>
      <c r="P30" s="445"/>
      <c r="Q30" s="445"/>
      <c r="R30" s="445"/>
      <c r="S30" s="445"/>
      <c r="T30" s="445"/>
      <c r="U30" s="445"/>
      <c r="V30" s="445"/>
    </row>
    <row r="31" spans="1:22" ht="7.5" customHeight="1">
      <c r="A31" s="814"/>
      <c r="B31" s="805"/>
      <c r="C31" s="862"/>
      <c r="D31" s="862"/>
      <c r="E31" s="862"/>
      <c r="F31" s="862"/>
      <c r="G31" s="862"/>
      <c r="H31" s="862"/>
      <c r="I31" s="862"/>
      <c r="J31" s="445"/>
      <c r="K31" s="445"/>
      <c r="L31" s="445"/>
      <c r="M31" s="445"/>
      <c r="N31" s="445"/>
      <c r="O31" s="445"/>
      <c r="P31" s="445"/>
      <c r="Q31" s="445"/>
      <c r="R31" s="445"/>
      <c r="S31" s="445"/>
      <c r="T31" s="445"/>
      <c r="U31" s="445"/>
      <c r="V31" s="445"/>
    </row>
    <row r="32" spans="1:22" ht="12.75" customHeight="1">
      <c r="A32" s="836" t="s">
        <v>159</v>
      </c>
      <c r="B32" s="805"/>
      <c r="C32" s="1651">
        <f>[1]!F001P100F1000SBBudgFY</f>
        <v>650000</v>
      </c>
      <c r="D32" s="1655">
        <f>F001P100F1000O6100+F001P100F1000O6200</f>
        <v>600000</v>
      </c>
      <c r="E32" s="1651">
        <f>[1]!F001P100F1000OthBudgFY</f>
        <v>46000</v>
      </c>
      <c r="F32" s="1655">
        <f>F001P100F1000O630064006500+F001P100F1000O6600+F001P100F1000O6800</f>
        <v>42434</v>
      </c>
      <c r="G32" s="1651">
        <f>C32+E32</f>
        <v>696000</v>
      </c>
      <c r="H32" s="1655">
        <f>D32+F32</f>
        <v>642434</v>
      </c>
      <c r="I32" s="1649">
        <f>IF(G32=H32,0,IF(G32&gt;0,(H32-G32)/G32,""))</f>
        <v>-7.6999999999999999E-2</v>
      </c>
      <c r="J32" s="445"/>
      <c r="K32" s="445"/>
      <c r="L32" s="445"/>
      <c r="M32" s="445"/>
      <c r="N32" s="445"/>
      <c r="O32" s="445"/>
      <c r="P32" s="445"/>
      <c r="Q32" s="445"/>
      <c r="R32" s="445"/>
      <c r="S32" s="445"/>
      <c r="T32" s="445"/>
      <c r="U32" s="445"/>
      <c r="V32" s="445"/>
    </row>
    <row r="33" spans="1:22" ht="12.75" customHeight="1">
      <c r="A33" s="836" t="s">
        <v>160</v>
      </c>
      <c r="B33" s="805"/>
      <c r="C33" s="1463"/>
      <c r="D33" s="1458"/>
      <c r="E33" s="1463"/>
      <c r="F33" s="1458"/>
      <c r="G33" s="1463"/>
      <c r="H33" s="1458"/>
      <c r="I33" s="1523"/>
      <c r="J33" s="445"/>
      <c r="K33" s="445"/>
      <c r="L33" s="445"/>
      <c r="M33" s="445"/>
      <c r="N33" s="445"/>
      <c r="O33" s="445"/>
      <c r="P33" s="445"/>
      <c r="Q33" s="445"/>
      <c r="R33" s="445"/>
      <c r="S33" s="445"/>
      <c r="T33" s="445"/>
      <c r="U33" s="445"/>
      <c r="V33" s="445"/>
    </row>
    <row r="34" spans="1:22" ht="12.75" customHeight="1">
      <c r="A34" s="836" t="s">
        <v>161</v>
      </c>
      <c r="B34" s="805"/>
      <c r="C34" s="1651">
        <f>[1]!F001P100F2100SBBudgFY</f>
        <v>35000</v>
      </c>
      <c r="D34" s="1655">
        <f>F001P100F2100O6100+F001P100F2100O6200</f>
        <v>35000</v>
      </c>
      <c r="E34" s="1651">
        <f>[1]!F001P100F2100OthBudgFY</f>
        <v>0</v>
      </c>
      <c r="F34" s="1655">
        <f>F001P100F2100O630064006500+F001P100F2100O6600+F001P100F2100O6800</f>
        <v>0</v>
      </c>
      <c r="G34" s="1651">
        <f>C34+E34</f>
        <v>35000</v>
      </c>
      <c r="H34" s="1655">
        <f>D34+F34</f>
        <v>35000</v>
      </c>
      <c r="I34" s="1649">
        <f>IF(G34=H34,0,IF(G34&gt;0,(H34-G34)/G34,""))</f>
        <v>0</v>
      </c>
      <c r="J34" s="445"/>
      <c r="K34" s="445"/>
      <c r="L34" s="445"/>
      <c r="M34" s="445"/>
      <c r="N34" s="445"/>
      <c r="O34" s="445"/>
      <c r="P34" s="445"/>
      <c r="Q34" s="445"/>
      <c r="R34" s="445"/>
      <c r="S34" s="445"/>
      <c r="T34" s="445"/>
      <c r="U34" s="445"/>
      <c r="V34" s="445"/>
    </row>
    <row r="35" spans="1:22" ht="12.75" customHeight="1">
      <c r="A35" s="836" t="s">
        <v>162</v>
      </c>
      <c r="B35" s="864"/>
      <c r="C35" s="1463"/>
      <c r="D35" s="1458"/>
      <c r="E35" s="1463"/>
      <c r="F35" s="1458"/>
      <c r="G35" s="1463"/>
      <c r="H35" s="1458"/>
      <c r="I35" s="1523"/>
      <c r="J35" s="445"/>
      <c r="K35" s="445"/>
      <c r="L35" s="445"/>
      <c r="M35" s="445"/>
      <c r="N35" s="445"/>
      <c r="O35" s="445"/>
      <c r="P35" s="445"/>
      <c r="Q35" s="445"/>
      <c r="R35" s="445"/>
      <c r="S35" s="445"/>
      <c r="T35" s="445"/>
      <c r="U35" s="445"/>
      <c r="V35" s="445"/>
    </row>
    <row r="36" spans="1:22" ht="13.5" customHeight="1">
      <c r="A36" s="865" t="s">
        <v>163</v>
      </c>
      <c r="B36" s="805"/>
      <c r="C36" s="866">
        <f>[1]!F001P100F2200SBBudgFY</f>
        <v>0</v>
      </c>
      <c r="D36" s="867">
        <f>F001P100F2200O6100+F001P100F2200O6200</f>
        <v>0</v>
      </c>
      <c r="E36" s="866">
        <f>[1]!F001P100F2200OthBudgFY</f>
        <v>10000</v>
      </c>
      <c r="F36" s="867">
        <f>F001P100F2200O630064006500+F001P100F2200O6600+F001P100F2200O6800</f>
        <v>10000</v>
      </c>
      <c r="G36" s="866">
        <f t="shared" ref="G36:H43" si="0">C36+E36</f>
        <v>10000</v>
      </c>
      <c r="H36" s="867">
        <f t="shared" si="0"/>
        <v>10000</v>
      </c>
      <c r="I36" s="868">
        <f t="shared" ref="I36:I45" si="1">IF(G36=H36,0,IF(G36&gt;0,(H36-G36)/G36,""))</f>
        <v>0</v>
      </c>
      <c r="J36" s="445"/>
      <c r="K36" s="445"/>
      <c r="L36" s="445"/>
      <c r="M36" s="445"/>
      <c r="N36" s="445"/>
      <c r="O36" s="445"/>
      <c r="P36" s="445"/>
      <c r="Q36" s="445"/>
      <c r="R36" s="445"/>
      <c r="S36" s="445"/>
      <c r="T36" s="445"/>
      <c r="U36" s="445"/>
      <c r="V36" s="445"/>
    </row>
    <row r="37" spans="1:22" ht="13.5" customHeight="1">
      <c r="A37" s="865" t="s">
        <v>574</v>
      </c>
      <c r="B37" s="869"/>
      <c r="C37" s="866">
        <f>[1]!F001P100F230024002500SBBudgFY</f>
        <v>135000</v>
      </c>
      <c r="D37" s="867">
        <f>F001P100F2300O6100+F001P100F2400O6100+F001P100F2500O6100+F001P100F2300O6200+F001P100F2400O6200+F001P100F2500O6200</f>
        <v>230000</v>
      </c>
      <c r="E37" s="866">
        <f>[1]!F001P100F230024002500OthBudgFY</f>
        <v>116000</v>
      </c>
      <c r="F37" s="867">
        <f>F001P100F2300O630064006500+F001P100F2300O6600+F001P100F2300O6800+F001P100F2400O630064006500+F001P100F2400O6600+F001P100F2400O6800+F001P100F2500O630064006500+F001P100F2500O6600+F001P100F2500O6800</f>
        <v>41000</v>
      </c>
      <c r="G37" s="866">
        <f t="shared" si="0"/>
        <v>251000</v>
      </c>
      <c r="H37" s="867">
        <f t="shared" si="0"/>
        <v>271000</v>
      </c>
      <c r="I37" s="868">
        <f t="shared" si="1"/>
        <v>0.08</v>
      </c>
      <c r="J37" s="445"/>
      <c r="K37" s="445"/>
      <c r="L37" s="445"/>
      <c r="M37" s="445"/>
      <c r="N37" s="445"/>
      <c r="O37" s="445"/>
      <c r="P37" s="445"/>
      <c r="Q37" s="445"/>
      <c r="R37" s="445"/>
      <c r="S37" s="445"/>
      <c r="T37" s="445"/>
      <c r="U37" s="445"/>
      <c r="V37" s="445"/>
    </row>
    <row r="38" spans="1:22" ht="12.75" customHeight="1">
      <c r="A38" s="865" t="s">
        <v>575</v>
      </c>
      <c r="B38" s="870"/>
      <c r="C38" s="866">
        <f>[1]!F001P100F2600SBBudgFY</f>
        <v>110000</v>
      </c>
      <c r="D38" s="867">
        <f>F001P100F2600O6100+F001P100F2600O6200</f>
        <v>110000</v>
      </c>
      <c r="E38" s="866">
        <f>[1]!F001P100F2600OthBudgFY</f>
        <v>216041</v>
      </c>
      <c r="F38" s="866">
        <f>F001P100F2600O630064006500+F001P100F2600O6600+F001P100F2600O6800</f>
        <v>216041</v>
      </c>
      <c r="G38" s="866">
        <f t="shared" si="0"/>
        <v>326041</v>
      </c>
      <c r="H38" s="867">
        <f t="shared" si="0"/>
        <v>326041</v>
      </c>
      <c r="I38" s="868">
        <f t="shared" si="1"/>
        <v>0</v>
      </c>
      <c r="J38" s="445"/>
      <c r="K38" s="445"/>
      <c r="L38" s="445"/>
      <c r="M38" s="445"/>
      <c r="N38" s="445"/>
      <c r="O38" s="445"/>
      <c r="P38" s="445"/>
      <c r="Q38" s="445"/>
      <c r="R38" s="445"/>
      <c r="S38" s="445"/>
      <c r="T38" s="445"/>
      <c r="U38" s="445"/>
      <c r="V38" s="445"/>
    </row>
    <row r="39" spans="1:22" ht="13.5" customHeight="1">
      <c r="A39" s="836" t="s">
        <v>576</v>
      </c>
      <c r="B39" s="805"/>
      <c r="C39" s="866">
        <f>[1]!F001P100F2900SBBudgFY</f>
        <v>0</v>
      </c>
      <c r="D39" s="867">
        <f>F001P100F2900O6100+F001P100F2900O6200</f>
        <v>0</v>
      </c>
      <c r="E39" s="866">
        <f>[1]!F001P100F2900OthBudgFY</f>
        <v>0</v>
      </c>
      <c r="F39" s="866">
        <f>F001P100F2900O630064006500+F001P100F2900O6600+F001P100F2900O6800</f>
        <v>0</v>
      </c>
      <c r="G39" s="866">
        <f t="shared" si="0"/>
        <v>0</v>
      </c>
      <c r="H39" s="867">
        <f t="shared" si="0"/>
        <v>0</v>
      </c>
      <c r="I39" s="868">
        <f t="shared" si="1"/>
        <v>0</v>
      </c>
      <c r="J39" s="445"/>
      <c r="K39" s="445"/>
      <c r="L39" s="445"/>
      <c r="M39" s="445"/>
      <c r="N39" s="445"/>
      <c r="O39" s="445"/>
      <c r="P39" s="445"/>
      <c r="Q39" s="445"/>
      <c r="R39" s="445"/>
      <c r="S39" s="445"/>
      <c r="T39" s="445"/>
      <c r="U39" s="445"/>
      <c r="V39" s="445"/>
    </row>
    <row r="40" spans="1:22" ht="13.5" customHeight="1">
      <c r="A40" s="836" t="s">
        <v>577</v>
      </c>
      <c r="B40" s="805"/>
      <c r="C40" s="866">
        <f>[1]!F001P100F3000SBBudgFY</f>
        <v>20000</v>
      </c>
      <c r="D40" s="867">
        <f>F001P100F3000O6100+F001P100F3000O6200</f>
        <v>20000</v>
      </c>
      <c r="E40" s="866">
        <f>[1]!F001P100F3000OthBudgFY</f>
        <v>10000</v>
      </c>
      <c r="F40" s="866">
        <f>F001P100F3000O630064006500+F001P100F3000O6600+F001P100F3000O6800</f>
        <v>10000</v>
      </c>
      <c r="G40" s="866">
        <f t="shared" si="0"/>
        <v>30000</v>
      </c>
      <c r="H40" s="867">
        <f t="shared" si="0"/>
        <v>30000</v>
      </c>
      <c r="I40" s="868">
        <f t="shared" si="1"/>
        <v>0</v>
      </c>
      <c r="J40" s="445"/>
      <c r="K40" s="445"/>
      <c r="L40" s="445"/>
      <c r="M40" s="445"/>
      <c r="N40" s="445"/>
      <c r="O40" s="445"/>
      <c r="P40" s="445"/>
      <c r="Q40" s="445"/>
      <c r="R40" s="445"/>
      <c r="S40" s="445"/>
      <c r="T40" s="445"/>
      <c r="U40" s="445"/>
      <c r="V40" s="445"/>
    </row>
    <row r="41" spans="1:22" ht="13.5" customHeight="1">
      <c r="A41" s="814" t="s">
        <v>578</v>
      </c>
      <c r="B41" s="805"/>
      <c r="C41" s="866">
        <f>[1]!F001P610SBBudgFY</f>
        <v>20000</v>
      </c>
      <c r="D41" s="867">
        <f>F001P610O6100+F001P610O6200</f>
        <v>20000</v>
      </c>
      <c r="E41" s="866">
        <f>[1]!F001P610OthBudgFY</f>
        <v>6000</v>
      </c>
      <c r="F41" s="866">
        <f>F001P610O630064006500+F001P610O6600+F001P610O6800</f>
        <v>6000</v>
      </c>
      <c r="G41" s="866">
        <f t="shared" si="0"/>
        <v>26000</v>
      </c>
      <c r="H41" s="867">
        <f t="shared" si="0"/>
        <v>26000</v>
      </c>
      <c r="I41" s="868">
        <f t="shared" si="1"/>
        <v>0</v>
      </c>
      <c r="J41" s="445"/>
      <c r="K41" s="445"/>
      <c r="L41" s="445"/>
      <c r="M41" s="445"/>
      <c r="N41" s="445"/>
      <c r="O41" s="445"/>
      <c r="P41" s="445"/>
      <c r="Q41" s="445"/>
      <c r="R41" s="445"/>
      <c r="S41" s="445"/>
      <c r="T41" s="445"/>
      <c r="U41" s="445"/>
      <c r="V41" s="445"/>
    </row>
    <row r="42" spans="1:22" ht="13.5" customHeight="1">
      <c r="A42" s="814" t="s">
        <v>177</v>
      </c>
      <c r="B42" s="805"/>
      <c r="C42" s="866">
        <f>[1]!F001P620SBBudgFY</f>
        <v>50000</v>
      </c>
      <c r="D42" s="867">
        <f>F001P620O6100+F001P620O6200</f>
        <v>50000</v>
      </c>
      <c r="E42" s="866">
        <f>[1]!F001P620OthBudgFY</f>
        <v>40000</v>
      </c>
      <c r="F42" s="866">
        <f>F001P620O630064006500+F001P620O6600+F001P620O6800</f>
        <v>40000</v>
      </c>
      <c r="G42" s="866">
        <f t="shared" si="0"/>
        <v>90000</v>
      </c>
      <c r="H42" s="867">
        <f t="shared" si="0"/>
        <v>90000</v>
      </c>
      <c r="I42" s="868">
        <f t="shared" si="1"/>
        <v>0</v>
      </c>
      <c r="J42" s="445"/>
      <c r="K42" s="445"/>
      <c r="L42" s="445"/>
      <c r="M42" s="445"/>
      <c r="N42" s="445"/>
      <c r="O42" s="445"/>
      <c r="P42" s="445"/>
      <c r="Q42" s="445"/>
      <c r="R42" s="445"/>
      <c r="S42" s="445"/>
      <c r="T42" s="445"/>
      <c r="U42" s="445"/>
      <c r="V42" s="445"/>
    </row>
    <row r="43" spans="1:22" ht="13.5" customHeight="1">
      <c r="A43" s="814" t="s">
        <v>579</v>
      </c>
      <c r="B43" s="805"/>
      <c r="C43" s="866">
        <f>[1]!F001P630700800900SBBudgFY</f>
        <v>0</v>
      </c>
      <c r="D43" s="871">
        <f>F001P630O6100+F001P630O6200+F001P700800900O6100+F001P700800900O6200</f>
        <v>0</v>
      </c>
      <c r="E43" s="872">
        <f>[1]!F001P630700800900OthBudgFY</f>
        <v>0</v>
      </c>
      <c r="F43" s="872">
        <f>F001P630O630064006500+F001P630O6600+F001P630O6800+F001P700800900O630064006500+F001P700800900O6600+F001P700800900O6800</f>
        <v>0</v>
      </c>
      <c r="G43" s="872">
        <f t="shared" si="0"/>
        <v>0</v>
      </c>
      <c r="H43" s="871">
        <f t="shared" si="0"/>
        <v>0</v>
      </c>
      <c r="I43" s="868">
        <f t="shared" si="1"/>
        <v>0</v>
      </c>
      <c r="J43" s="445"/>
      <c r="K43" s="445"/>
      <c r="L43" s="445"/>
      <c r="M43" s="445"/>
      <c r="N43" s="445"/>
      <c r="O43" s="445"/>
      <c r="P43" s="445"/>
      <c r="Q43" s="445"/>
      <c r="R43" s="445"/>
      <c r="S43" s="445"/>
      <c r="T43" s="445"/>
      <c r="U43" s="445"/>
      <c r="V43" s="445"/>
    </row>
    <row r="44" spans="1:22" ht="12.75" customHeight="1">
      <c r="A44" s="873" t="s">
        <v>580</v>
      </c>
      <c r="B44" s="848"/>
      <c r="C44" s="867">
        <f t="shared" ref="C44:H44" si="2">SUM(C32:C43)</f>
        <v>1020000</v>
      </c>
      <c r="D44" s="867">
        <f t="shared" si="2"/>
        <v>1065000</v>
      </c>
      <c r="E44" s="867">
        <f t="shared" si="2"/>
        <v>444041</v>
      </c>
      <c r="F44" s="867">
        <f t="shared" si="2"/>
        <v>365475</v>
      </c>
      <c r="G44" s="867">
        <f t="shared" si="2"/>
        <v>1464041</v>
      </c>
      <c r="H44" s="867">
        <f t="shared" si="2"/>
        <v>1430475</v>
      </c>
      <c r="I44" s="868">
        <f t="shared" si="1"/>
        <v>-2.3E-2</v>
      </c>
      <c r="J44" s="445"/>
      <c r="K44" s="445"/>
      <c r="L44" s="445"/>
      <c r="M44" s="445"/>
      <c r="N44" s="445"/>
      <c r="O44" s="445"/>
      <c r="P44" s="445"/>
      <c r="Q44" s="445"/>
      <c r="R44" s="445"/>
      <c r="S44" s="445"/>
      <c r="T44" s="445"/>
      <c r="U44" s="445"/>
      <c r="V44" s="445"/>
    </row>
    <row r="45" spans="1:22" ht="12.75" customHeight="1">
      <c r="A45" s="836" t="s">
        <v>185</v>
      </c>
      <c r="B45" s="805"/>
      <c r="C45" s="1651">
        <f>[1]!F001P200F1000SBBudgFY</f>
        <v>160000</v>
      </c>
      <c r="D45" s="1655">
        <f>F001P200F1000O6100+F001P200F1000O6200</f>
        <v>160000</v>
      </c>
      <c r="E45" s="1651">
        <f>[1]!F001P200F1000OthBudgFY</f>
        <v>18000</v>
      </c>
      <c r="F45" s="1655">
        <f>F001P200F1000O630064006500+F001P200F1000O6600+F001P200F1000O6800</f>
        <v>18000</v>
      </c>
      <c r="G45" s="1651">
        <f>C45+E45</f>
        <v>178000</v>
      </c>
      <c r="H45" s="1655">
        <f>D45+F45</f>
        <v>178000</v>
      </c>
      <c r="I45" s="1649">
        <f t="shared" si="1"/>
        <v>0</v>
      </c>
      <c r="J45" s="445"/>
      <c r="K45" s="445"/>
      <c r="L45" s="445"/>
      <c r="M45" s="445"/>
      <c r="N45" s="445"/>
      <c r="O45" s="445"/>
      <c r="P45" s="445"/>
      <c r="Q45" s="445"/>
      <c r="R45" s="445"/>
      <c r="S45" s="445"/>
      <c r="T45" s="445"/>
      <c r="U45" s="445"/>
      <c r="V45" s="445"/>
    </row>
    <row r="46" spans="1:22" ht="12.75" customHeight="1">
      <c r="A46" s="836" t="s">
        <v>160</v>
      </c>
      <c r="B46" s="805"/>
      <c r="C46" s="1463"/>
      <c r="D46" s="1458"/>
      <c r="E46" s="1463"/>
      <c r="F46" s="1458"/>
      <c r="G46" s="1463"/>
      <c r="H46" s="1458"/>
      <c r="I46" s="1523"/>
      <c r="J46" s="445"/>
      <c r="K46" s="445"/>
      <c r="L46" s="445"/>
      <c r="M46" s="445"/>
      <c r="N46" s="445"/>
      <c r="O46" s="445"/>
      <c r="P46" s="445"/>
      <c r="Q46" s="445"/>
      <c r="R46" s="445"/>
      <c r="S46" s="445"/>
      <c r="T46" s="445"/>
      <c r="U46" s="445"/>
      <c r="V46" s="445"/>
    </row>
    <row r="47" spans="1:22" ht="12.75" customHeight="1">
      <c r="A47" s="836" t="s">
        <v>161</v>
      </c>
      <c r="B47" s="805"/>
      <c r="C47" s="1651">
        <f>[1]!F001P200F2100SBBudgFY</f>
        <v>0</v>
      </c>
      <c r="D47" s="1655">
        <f>F001P200F2100O6100+F001P200F2100O6200</f>
        <v>0</v>
      </c>
      <c r="E47" s="1651">
        <f>[1]!F001P200F2100OthBudgFY</f>
        <v>35000</v>
      </c>
      <c r="F47" s="1655">
        <f>F001P200F2100O630064006500+F001P200F2100O6600+F001P200F2100O6800</f>
        <v>35000</v>
      </c>
      <c r="G47" s="1651">
        <f>C47+E47</f>
        <v>35000</v>
      </c>
      <c r="H47" s="1655">
        <f>D47+F47</f>
        <v>35000</v>
      </c>
      <c r="I47" s="1649">
        <f>IF(G47=H47,0,IF(G47&gt;0,(H47-G47)/G47,""))</f>
        <v>0</v>
      </c>
      <c r="J47" s="445"/>
      <c r="K47" s="445"/>
      <c r="L47" s="445"/>
      <c r="M47" s="445"/>
      <c r="N47" s="445"/>
      <c r="O47" s="445"/>
      <c r="P47" s="445"/>
      <c r="Q47" s="445"/>
      <c r="R47" s="445"/>
      <c r="S47" s="445"/>
      <c r="T47" s="445"/>
      <c r="U47" s="445"/>
      <c r="V47" s="445"/>
    </row>
    <row r="48" spans="1:22" ht="12.75" customHeight="1">
      <c r="A48" s="836" t="s">
        <v>162</v>
      </c>
      <c r="B48" s="864"/>
      <c r="C48" s="1463"/>
      <c r="D48" s="1458"/>
      <c r="E48" s="1463"/>
      <c r="F48" s="1458"/>
      <c r="G48" s="1458"/>
      <c r="H48" s="1458"/>
      <c r="I48" s="1523"/>
      <c r="J48" s="445"/>
      <c r="K48" s="445"/>
      <c r="L48" s="445"/>
      <c r="M48" s="445"/>
      <c r="N48" s="445"/>
      <c r="O48" s="445"/>
      <c r="P48" s="445"/>
      <c r="Q48" s="445"/>
      <c r="R48" s="445"/>
      <c r="S48" s="445"/>
      <c r="T48" s="445"/>
      <c r="U48" s="445"/>
      <c r="V48" s="445"/>
    </row>
    <row r="49" spans="1:22" ht="13.5" customHeight="1">
      <c r="A49" s="865" t="s">
        <v>163</v>
      </c>
      <c r="B49" s="805"/>
      <c r="C49" s="866">
        <f>[1]!F001P200F2200SBBudgFY</f>
        <v>6000</v>
      </c>
      <c r="D49" s="866">
        <f>F001P200F2200O6100+F001P200F2200O6200</f>
        <v>6000</v>
      </c>
      <c r="E49" s="866">
        <f>[1]!F001P200F2200OthBudgFY</f>
        <v>0</v>
      </c>
      <c r="F49" s="867">
        <f>F001P200F2200O630064006500+F001P200F2200O6600+F001P200F2200O6800</f>
        <v>0</v>
      </c>
      <c r="G49" s="866">
        <f t="shared" ref="G49:G58" si="3">C49+E49</f>
        <v>6000</v>
      </c>
      <c r="H49" s="867">
        <f t="shared" ref="H49:H58" si="4">D49+F49</f>
        <v>6000</v>
      </c>
      <c r="I49" s="868">
        <f t="shared" ref="I49:I58" si="5">IF(G49=H49,0,IF(G49&gt;0,(H49-G49)/G49,""))</f>
        <v>0</v>
      </c>
      <c r="J49" s="445"/>
      <c r="K49" s="445"/>
      <c r="L49" s="445"/>
      <c r="M49" s="445"/>
      <c r="N49" s="445"/>
      <c r="O49" s="445"/>
      <c r="P49" s="445"/>
      <c r="Q49" s="445"/>
      <c r="R49" s="445"/>
      <c r="S49" s="445"/>
      <c r="T49" s="445"/>
      <c r="U49" s="445"/>
      <c r="V49" s="445"/>
    </row>
    <row r="50" spans="1:22" ht="13.5" customHeight="1">
      <c r="A50" s="865" t="s">
        <v>574</v>
      </c>
      <c r="B50" s="869"/>
      <c r="C50" s="866">
        <f>[1]!F001P200F230024002500SBBudgFY</f>
        <v>20000</v>
      </c>
      <c r="D50" s="866">
        <f>F001P200F2300O6100+F001P200F2300O6200+F001P200F2400O6100+F001P200F2400O6200+F001P200F2500O6100+F001P200F2500O6200</f>
        <v>20000</v>
      </c>
      <c r="E50" s="866">
        <f>[1]!F001P200F230024002500OthBudgFY</f>
        <v>3000</v>
      </c>
      <c r="F50" s="866">
        <f>F001P200F2300O630064006500+F001P200F2300O6600+F001P200F2300O6800+F001P200F2400O630064006500+F001P200F2400O6600+F001P200F2400O6800+F001P200F2500O630064006500+F001P200F2500O6600+F001P200F2500O6800</f>
        <v>3000</v>
      </c>
      <c r="G50" s="866">
        <f t="shared" si="3"/>
        <v>23000</v>
      </c>
      <c r="H50" s="867">
        <f t="shared" si="4"/>
        <v>23000</v>
      </c>
      <c r="I50" s="868">
        <f t="shared" si="5"/>
        <v>0</v>
      </c>
      <c r="J50" s="445"/>
      <c r="K50" s="445"/>
      <c r="L50" s="445"/>
      <c r="M50" s="445"/>
      <c r="N50" s="445"/>
      <c r="O50" s="445"/>
      <c r="P50" s="445"/>
      <c r="Q50" s="445"/>
      <c r="R50" s="445"/>
      <c r="S50" s="445"/>
      <c r="T50" s="445"/>
      <c r="U50" s="445"/>
      <c r="V50" s="445"/>
    </row>
    <row r="51" spans="1:22" ht="13.5" customHeight="1">
      <c r="A51" s="865" t="s">
        <v>575</v>
      </c>
      <c r="B51" s="870"/>
      <c r="C51" s="866">
        <f>[1]!F001P200F2600SBBudgFY</f>
        <v>0</v>
      </c>
      <c r="D51" s="866">
        <f>F001P200F2600O6100+F001P200F2600O6200</f>
        <v>0</v>
      </c>
      <c r="E51" s="866">
        <f>[1]!F001P200F2600OthBudgFY</f>
        <v>45000</v>
      </c>
      <c r="F51" s="866">
        <f>F001P200F2600O630064006500+F001P200F2600O6600+F001P200F2600O6800</f>
        <v>45000</v>
      </c>
      <c r="G51" s="866">
        <f t="shared" si="3"/>
        <v>45000</v>
      </c>
      <c r="H51" s="867">
        <f t="shared" si="4"/>
        <v>45000</v>
      </c>
      <c r="I51" s="868">
        <f t="shared" si="5"/>
        <v>0</v>
      </c>
      <c r="J51" s="445"/>
      <c r="K51" s="445"/>
      <c r="L51" s="445"/>
      <c r="M51" s="445"/>
      <c r="N51" s="445"/>
      <c r="O51" s="445"/>
      <c r="P51" s="445"/>
      <c r="Q51" s="445"/>
      <c r="R51" s="445"/>
      <c r="S51" s="445"/>
      <c r="T51" s="445"/>
      <c r="U51" s="445"/>
      <c r="V51" s="445"/>
    </row>
    <row r="52" spans="1:22" ht="13.5" customHeight="1">
      <c r="A52" s="836" t="s">
        <v>576</v>
      </c>
      <c r="B52" s="805"/>
      <c r="C52" s="866">
        <f>[1]!F001P200F2900SBBudgFY</f>
        <v>0</v>
      </c>
      <c r="D52" s="866">
        <f>F001P200F2900O6100+F001P200F2900O6200</f>
        <v>0</v>
      </c>
      <c r="E52" s="866">
        <f>[1]!F001P200F2900OthBudgFY</f>
        <v>0</v>
      </c>
      <c r="F52" s="866">
        <f>F001P200F2900O630064006500+F001P200F2900O6600+F001P200F2900O6800</f>
        <v>0</v>
      </c>
      <c r="G52" s="866">
        <f t="shared" si="3"/>
        <v>0</v>
      </c>
      <c r="H52" s="867">
        <f t="shared" si="4"/>
        <v>0</v>
      </c>
      <c r="I52" s="868">
        <f t="shared" si="5"/>
        <v>0</v>
      </c>
      <c r="J52" s="445"/>
      <c r="K52" s="445"/>
      <c r="L52" s="445"/>
      <c r="M52" s="445"/>
      <c r="N52" s="445"/>
      <c r="O52" s="445"/>
      <c r="P52" s="445"/>
      <c r="Q52" s="445"/>
      <c r="R52" s="445"/>
      <c r="S52" s="445"/>
      <c r="T52" s="445"/>
      <c r="U52" s="445"/>
      <c r="V52" s="445"/>
    </row>
    <row r="53" spans="1:22" ht="13.5" customHeight="1">
      <c r="A53" s="836" t="s">
        <v>577</v>
      </c>
      <c r="B53" s="805"/>
      <c r="C53" s="866">
        <f>[1]!F001P200F3000SBBudgFY</f>
        <v>0</v>
      </c>
      <c r="D53" s="866">
        <f>F001P200F3000O6100+F001P200F3000O6200</f>
        <v>0</v>
      </c>
      <c r="E53" s="866">
        <f>[1]!F001P200F3000OthBudgFY</f>
        <v>0</v>
      </c>
      <c r="F53" s="866">
        <f>F001P200F3000O630064006500+F001P200F3000O6600+F001P200F3000O6800</f>
        <v>0</v>
      </c>
      <c r="G53" s="866">
        <f t="shared" si="3"/>
        <v>0</v>
      </c>
      <c r="H53" s="867">
        <f t="shared" si="4"/>
        <v>0</v>
      </c>
      <c r="I53" s="868">
        <f t="shared" si="5"/>
        <v>0</v>
      </c>
      <c r="J53" s="445"/>
      <c r="K53" s="445"/>
      <c r="L53" s="445"/>
      <c r="M53" s="445"/>
      <c r="N53" s="445"/>
      <c r="O53" s="445"/>
      <c r="P53" s="445"/>
      <c r="Q53" s="445"/>
      <c r="R53" s="445"/>
      <c r="S53" s="445"/>
      <c r="T53" s="445"/>
      <c r="U53" s="445"/>
      <c r="V53" s="445"/>
    </row>
    <row r="54" spans="1:22" ht="13.5" customHeight="1">
      <c r="A54" s="873" t="s">
        <v>581</v>
      </c>
      <c r="B54" s="805"/>
      <c r="C54" s="874">
        <f t="shared" ref="C54:H54" si="6">SUM(C45:C53)</f>
        <v>186000</v>
      </c>
      <c r="D54" s="874">
        <f t="shared" si="6"/>
        <v>186000</v>
      </c>
      <c r="E54" s="874">
        <f t="shared" si="6"/>
        <v>101000</v>
      </c>
      <c r="F54" s="874">
        <f t="shared" si="6"/>
        <v>101000</v>
      </c>
      <c r="G54" s="866">
        <f t="shared" si="6"/>
        <v>287000</v>
      </c>
      <c r="H54" s="866">
        <f t="shared" si="6"/>
        <v>287000</v>
      </c>
      <c r="I54" s="868">
        <f t="shared" si="5"/>
        <v>0</v>
      </c>
      <c r="J54" s="445"/>
      <c r="K54" s="445"/>
      <c r="L54" s="445"/>
      <c r="M54" s="445"/>
      <c r="N54" s="445"/>
      <c r="O54" s="445"/>
      <c r="P54" s="445"/>
      <c r="Q54" s="445"/>
      <c r="R54" s="445"/>
      <c r="S54" s="445"/>
      <c r="T54" s="445"/>
      <c r="U54" s="445"/>
      <c r="V54" s="445"/>
    </row>
    <row r="55" spans="1:22" ht="13.5" customHeight="1">
      <c r="A55" s="836" t="s">
        <v>197</v>
      </c>
      <c r="B55" s="875"/>
      <c r="C55" s="866">
        <f>[1]!F001P400SBBudgFY</f>
        <v>120000</v>
      </c>
      <c r="D55" s="874">
        <f>F001P400O6100+F001P400O6200</f>
        <v>120000</v>
      </c>
      <c r="E55" s="866">
        <f>[1]!F001P400OthBudgFy</f>
        <v>170000</v>
      </c>
      <c r="F55" s="874">
        <f>F001P400O630064006500+F001P400O6600+F001P400O6800</f>
        <v>170000</v>
      </c>
      <c r="G55" s="866">
        <f t="shared" si="3"/>
        <v>290000</v>
      </c>
      <c r="H55" s="867">
        <f t="shared" si="4"/>
        <v>290000</v>
      </c>
      <c r="I55" s="868">
        <f t="shared" si="5"/>
        <v>0</v>
      </c>
      <c r="J55" s="445"/>
      <c r="K55" s="445"/>
      <c r="L55" s="445"/>
      <c r="M55" s="445"/>
      <c r="N55" s="445"/>
      <c r="O55" s="445"/>
      <c r="P55" s="445"/>
      <c r="Q55" s="445"/>
      <c r="R55" s="445"/>
      <c r="S55" s="445"/>
      <c r="T55" s="445"/>
      <c r="U55" s="445"/>
      <c r="V55" s="445"/>
    </row>
    <row r="56" spans="1:22" ht="13.5" customHeight="1">
      <c r="A56" s="865" t="s">
        <v>582</v>
      </c>
      <c r="B56" s="876"/>
      <c r="C56" s="872">
        <f>[1]!F001P510SBBudgFY</f>
        <v>0</v>
      </c>
      <c r="D56" s="877">
        <f>F001P510O6100+F001P510O6200</f>
        <v>0</v>
      </c>
      <c r="E56" s="872">
        <f>[1]!F001P510OthBudgFY</f>
        <v>0</v>
      </c>
      <c r="F56" s="877">
        <f>F001P510O630064006500+F001P510O6600+F001P510O6800</f>
        <v>0</v>
      </c>
      <c r="G56" s="872">
        <f t="shared" si="3"/>
        <v>0</v>
      </c>
      <c r="H56" s="871">
        <f t="shared" si="4"/>
        <v>0</v>
      </c>
      <c r="I56" s="878">
        <f t="shared" si="5"/>
        <v>0</v>
      </c>
      <c r="J56" s="445"/>
      <c r="K56" s="445"/>
      <c r="L56" s="445"/>
      <c r="M56" s="445"/>
      <c r="N56" s="445"/>
      <c r="O56" s="445"/>
      <c r="P56" s="445"/>
      <c r="Q56" s="445"/>
      <c r="R56" s="445"/>
      <c r="S56" s="445"/>
      <c r="T56" s="445"/>
      <c r="U56" s="445"/>
      <c r="V56" s="445"/>
    </row>
    <row r="57" spans="1:22" ht="13.5" customHeight="1">
      <c r="A57" s="836" t="s">
        <v>202</v>
      </c>
      <c r="B57" s="875"/>
      <c r="C57" s="866">
        <f>[1]!F001P530SBBudgFY</f>
        <v>0</v>
      </c>
      <c r="D57" s="874">
        <f>F001P530O6100+F001P530O6200</f>
        <v>0</v>
      </c>
      <c r="E57" s="866">
        <f>[1]!F001P530OthBudgFY</f>
        <v>0</v>
      </c>
      <c r="F57" s="874">
        <f>F001P530O630064006500+F001P530O6600+F001P530O6800</f>
        <v>0</v>
      </c>
      <c r="G57" s="866">
        <f t="shared" si="3"/>
        <v>0</v>
      </c>
      <c r="H57" s="867">
        <f t="shared" si="4"/>
        <v>0</v>
      </c>
      <c r="I57" s="868">
        <f t="shared" si="5"/>
        <v>0</v>
      </c>
      <c r="J57" s="445"/>
      <c r="K57" s="445"/>
      <c r="L57" s="445"/>
      <c r="M57" s="445"/>
      <c r="N57" s="445"/>
      <c r="O57" s="445"/>
      <c r="P57" s="445"/>
      <c r="Q57" s="445"/>
      <c r="R57" s="445"/>
      <c r="S57" s="445"/>
      <c r="T57" s="445"/>
      <c r="U57" s="445"/>
      <c r="V57" s="445"/>
    </row>
    <row r="58" spans="1:22" ht="12.75" customHeight="1">
      <c r="A58" s="836" t="s">
        <v>583</v>
      </c>
      <c r="B58" s="319"/>
      <c r="C58" s="1651">
        <f>[1]!F001P540SBBudgFY</f>
        <v>0</v>
      </c>
      <c r="D58" s="1653">
        <f>F001P540O6100+F001P540O6200</f>
        <v>0</v>
      </c>
      <c r="E58" s="1651">
        <f>[1]!F001P540OthBudgFY</f>
        <v>0</v>
      </c>
      <c r="F58" s="1653">
        <f>F001P540O630064006500+F001P540O6600+F001P540O6800</f>
        <v>0</v>
      </c>
      <c r="G58" s="1651">
        <f t="shared" si="3"/>
        <v>0</v>
      </c>
      <c r="H58" s="1651">
        <f t="shared" si="4"/>
        <v>0</v>
      </c>
      <c r="I58" s="1649">
        <f t="shared" si="5"/>
        <v>0</v>
      </c>
      <c r="J58" s="445"/>
      <c r="K58" s="445"/>
      <c r="L58" s="445"/>
      <c r="M58" s="445"/>
      <c r="N58" s="445"/>
      <c r="O58" s="445"/>
      <c r="P58" s="445"/>
      <c r="Q58" s="445"/>
      <c r="R58" s="445"/>
      <c r="S58" s="445"/>
      <c r="T58" s="445"/>
      <c r="U58" s="445"/>
      <c r="V58" s="445"/>
    </row>
    <row r="59" spans="1:22" ht="12.75" customHeight="1">
      <c r="A59" s="836" t="s">
        <v>584</v>
      </c>
      <c r="B59" s="319"/>
      <c r="C59" s="1652"/>
      <c r="D59" s="1654"/>
      <c r="E59" s="1652"/>
      <c r="F59" s="1654"/>
      <c r="G59" s="1652"/>
      <c r="H59" s="1652"/>
      <c r="I59" s="1650"/>
      <c r="J59" s="445"/>
      <c r="K59" s="445"/>
      <c r="L59" s="445"/>
      <c r="M59" s="445"/>
      <c r="N59" s="445"/>
      <c r="O59" s="445"/>
      <c r="P59" s="445"/>
      <c r="Q59" s="445"/>
      <c r="R59" s="445"/>
      <c r="S59" s="445"/>
      <c r="T59" s="445"/>
      <c r="U59" s="445"/>
      <c r="V59" s="445"/>
    </row>
    <row r="60" spans="1:22" ht="9.75" customHeight="1">
      <c r="A60" s="865" t="s">
        <v>207</v>
      </c>
      <c r="B60" s="319"/>
      <c r="C60" s="866">
        <f>[1]!F001P550SBBudgFY</f>
        <v>0</v>
      </c>
      <c r="D60" s="879">
        <f>F001P550O6100+F001P550O6200</f>
        <v>0</v>
      </c>
      <c r="E60" s="866">
        <f>[1]!F001P550OthBudgFY</f>
        <v>0</v>
      </c>
      <c r="F60" s="879">
        <f>F001P550O630064006500+F001P550O6600+F001P550O6800</f>
        <v>0</v>
      </c>
      <c r="G60" s="866">
        <f>C60+E60</f>
        <v>0</v>
      </c>
      <c r="H60" s="871">
        <f>D60+F60</f>
        <v>0</v>
      </c>
      <c r="I60" s="880">
        <f>IF(G60=H60,0,IF(G60&gt;0,(H60-G60)/G60,""))</f>
        <v>0</v>
      </c>
      <c r="J60" s="445"/>
      <c r="K60" s="445"/>
      <c r="L60" s="445"/>
      <c r="M60" s="445"/>
      <c r="N60" s="445"/>
      <c r="O60" s="445"/>
      <c r="P60" s="445"/>
      <c r="Q60" s="445"/>
      <c r="R60" s="445"/>
      <c r="S60" s="445"/>
      <c r="T60" s="445"/>
      <c r="U60" s="445"/>
      <c r="V60" s="445"/>
    </row>
    <row r="61" spans="1:22" ht="12.75" customHeight="1">
      <c r="A61" s="842" t="s">
        <v>585</v>
      </c>
      <c r="B61" s="881"/>
      <c r="C61" s="874">
        <f t="shared" ref="C61:H61" si="7">SUM(C54:C60)+C44</f>
        <v>1326000</v>
      </c>
      <c r="D61" s="874">
        <f t="shared" si="7"/>
        <v>1371000</v>
      </c>
      <c r="E61" s="874">
        <f t="shared" si="7"/>
        <v>715041</v>
      </c>
      <c r="F61" s="874">
        <f t="shared" si="7"/>
        <v>636475</v>
      </c>
      <c r="G61" s="874">
        <f t="shared" si="7"/>
        <v>2041041</v>
      </c>
      <c r="H61" s="874">
        <f t="shared" si="7"/>
        <v>2007475</v>
      </c>
      <c r="I61" s="868">
        <f>IF(G61=H61,0,IF(G61&gt;0,(H61-G61)/G61,""))</f>
        <v>-1.6E-2</v>
      </c>
      <c r="J61" s="445"/>
      <c r="K61" s="445"/>
      <c r="L61" s="445"/>
      <c r="M61" s="445"/>
      <c r="N61" s="445"/>
      <c r="O61" s="445"/>
      <c r="P61" s="445"/>
      <c r="Q61" s="445"/>
      <c r="R61" s="445"/>
      <c r="S61" s="445"/>
      <c r="T61" s="445"/>
      <c r="U61" s="445"/>
      <c r="V61" s="445"/>
    </row>
    <row r="62" spans="1:22" ht="13.5" customHeight="1">
      <c r="A62" s="805"/>
      <c r="B62" s="802"/>
      <c r="C62" s="802"/>
      <c r="D62" s="802"/>
      <c r="E62" s="802"/>
      <c r="F62" s="802"/>
      <c r="G62" s="802"/>
      <c r="H62" s="802"/>
      <c r="I62" s="802"/>
      <c r="J62" s="445"/>
      <c r="K62" s="445"/>
      <c r="L62" s="445"/>
      <c r="M62" s="445"/>
      <c r="N62" s="445"/>
      <c r="O62" s="445"/>
      <c r="P62" s="445"/>
      <c r="Q62" s="445"/>
      <c r="R62" s="445"/>
      <c r="S62" s="445"/>
      <c r="T62" s="445"/>
      <c r="U62" s="445"/>
      <c r="V62" s="445"/>
    </row>
    <row r="63" spans="1:22" ht="11.4">
      <c r="A63" s="803"/>
      <c r="B63" s="882"/>
      <c r="C63" s="883"/>
      <c r="D63" s="883"/>
      <c r="E63" s="883"/>
      <c r="F63" s="883"/>
      <c r="G63" s="883"/>
      <c r="H63" s="883"/>
      <c r="I63" s="884"/>
      <c r="J63" s="445"/>
      <c r="K63" s="445"/>
      <c r="L63" s="445"/>
      <c r="M63" s="445"/>
      <c r="N63" s="445"/>
      <c r="O63" s="445"/>
      <c r="P63" s="445"/>
      <c r="Q63" s="445"/>
      <c r="R63" s="445"/>
      <c r="S63" s="445"/>
      <c r="T63" s="445"/>
      <c r="U63" s="445"/>
      <c r="V63" s="445"/>
    </row>
    <row r="64" spans="1:22" ht="11.4">
      <c r="A64" s="802"/>
      <c r="B64" s="802"/>
      <c r="H64" s="805"/>
      <c r="I64" s="802"/>
      <c r="J64" s="445"/>
      <c r="K64" s="445"/>
      <c r="L64" s="445"/>
      <c r="M64" s="445"/>
      <c r="N64" s="445"/>
      <c r="O64" s="445"/>
      <c r="P64" s="445"/>
      <c r="Q64" s="445"/>
      <c r="R64" s="445"/>
      <c r="S64" s="445"/>
      <c r="T64" s="445"/>
      <c r="U64" s="445"/>
      <c r="V64" s="445"/>
    </row>
    <row r="65" spans="1:22" ht="11.4">
      <c r="B65" s="802"/>
      <c r="H65" s="805"/>
      <c r="J65" s="445"/>
      <c r="K65" s="445"/>
      <c r="L65" s="445"/>
      <c r="M65" s="445"/>
      <c r="N65" s="445"/>
      <c r="O65" s="445"/>
      <c r="P65" s="445"/>
      <c r="Q65" s="445"/>
      <c r="R65" s="445"/>
      <c r="S65" s="445"/>
      <c r="T65" s="445"/>
      <c r="U65" s="445"/>
      <c r="V65" s="445"/>
    </row>
    <row r="66" spans="1:22" ht="11.4">
      <c r="A66" s="802"/>
      <c r="B66" s="802"/>
      <c r="H66" s="805"/>
      <c r="I66" s="802"/>
      <c r="J66" s="445"/>
      <c r="K66" s="445"/>
      <c r="L66" s="445"/>
      <c r="M66" s="445"/>
      <c r="N66" s="445"/>
      <c r="O66" s="445"/>
      <c r="P66" s="445"/>
      <c r="Q66" s="445"/>
      <c r="R66" s="445"/>
      <c r="S66" s="445"/>
      <c r="T66" s="445"/>
      <c r="U66" s="445"/>
      <c r="V66" s="445"/>
    </row>
    <row r="67" spans="1:22" ht="11.4">
      <c r="A67" s="802"/>
      <c r="B67" s="802"/>
      <c r="C67" s="803"/>
      <c r="D67" s="805"/>
      <c r="E67" s="805"/>
      <c r="F67" s="805"/>
      <c r="G67" s="805"/>
      <c r="H67" s="805"/>
      <c r="I67" s="802"/>
      <c r="J67" s="445"/>
      <c r="K67" s="445"/>
      <c r="L67" s="445"/>
      <c r="M67" s="445"/>
      <c r="N67" s="445"/>
      <c r="O67" s="445"/>
      <c r="P67" s="445"/>
      <c r="Q67" s="445"/>
      <c r="R67" s="445"/>
      <c r="S67" s="445"/>
      <c r="T67" s="445"/>
      <c r="U67" s="445"/>
      <c r="V67" s="445"/>
    </row>
    <row r="68" spans="1:22" ht="11.4">
      <c r="B68" s="802"/>
      <c r="D68" s="805"/>
      <c r="E68" s="805"/>
      <c r="F68" s="805"/>
      <c r="G68" s="805"/>
      <c r="H68" s="805"/>
      <c r="I68" s="802"/>
      <c r="J68" s="445"/>
      <c r="K68" s="445"/>
      <c r="L68" s="445"/>
      <c r="M68" s="445"/>
      <c r="N68" s="445"/>
      <c r="O68" s="445"/>
      <c r="P68" s="445"/>
      <c r="Q68" s="445"/>
      <c r="R68" s="445"/>
      <c r="S68" s="445"/>
      <c r="T68" s="445"/>
      <c r="U68" s="445"/>
      <c r="V68" s="445"/>
    </row>
    <row r="69" spans="1:22" ht="11.4">
      <c r="A69" s="802"/>
      <c r="B69" s="802"/>
      <c r="C69" s="802"/>
      <c r="D69" s="802"/>
      <c r="E69" s="802"/>
      <c r="F69" s="802"/>
      <c r="G69" s="802"/>
      <c r="H69" s="802"/>
      <c r="I69" s="802"/>
      <c r="J69" s="445"/>
      <c r="K69" s="445"/>
      <c r="L69" s="445"/>
      <c r="M69" s="445"/>
      <c r="N69" s="445"/>
      <c r="O69" s="445"/>
      <c r="P69" s="445"/>
      <c r="Q69" s="445"/>
      <c r="R69" s="445"/>
      <c r="S69" s="445"/>
      <c r="T69" s="445"/>
      <c r="U69" s="445"/>
      <c r="V69" s="445"/>
    </row>
    <row r="70" spans="1:22" ht="11.4">
      <c r="A70" s="802"/>
      <c r="B70" s="802"/>
      <c r="C70" s="802"/>
      <c r="D70" s="802"/>
      <c r="E70" s="802"/>
      <c r="F70" s="802"/>
      <c r="G70" s="802"/>
      <c r="H70" s="802"/>
      <c r="I70" s="802"/>
      <c r="J70" s="445"/>
      <c r="K70" s="445"/>
      <c r="L70" s="445"/>
      <c r="M70" s="445"/>
      <c r="N70" s="445"/>
      <c r="O70" s="445"/>
      <c r="P70" s="445"/>
      <c r="Q70" s="445"/>
      <c r="R70" s="445"/>
      <c r="S70" s="445"/>
      <c r="T70" s="445"/>
      <c r="U70" s="445"/>
      <c r="V70" s="445"/>
    </row>
    <row r="71" spans="1:22" ht="11.4">
      <c r="A71" s="802"/>
      <c r="B71" s="802"/>
      <c r="C71" s="802"/>
      <c r="D71" s="802"/>
      <c r="E71" s="802"/>
      <c r="F71" s="802"/>
      <c r="G71" s="802"/>
      <c r="H71" s="802"/>
      <c r="I71" s="802"/>
      <c r="J71" s="445"/>
      <c r="K71" s="445"/>
      <c r="L71" s="445"/>
      <c r="M71" s="445"/>
      <c r="N71" s="445"/>
      <c r="O71" s="445"/>
      <c r="P71" s="445"/>
      <c r="Q71" s="445"/>
      <c r="R71" s="445"/>
      <c r="S71" s="445"/>
      <c r="T71" s="445"/>
      <c r="U71" s="445"/>
      <c r="V71" s="445"/>
    </row>
    <row r="72" spans="1:22" ht="11.4">
      <c r="A72" s="802"/>
      <c r="B72" s="802"/>
      <c r="C72" s="802"/>
      <c r="D72" s="802"/>
      <c r="E72" s="802"/>
      <c r="F72" s="802"/>
      <c r="G72" s="802"/>
      <c r="H72" s="802"/>
      <c r="I72" s="802"/>
      <c r="J72" s="445"/>
      <c r="K72" s="445"/>
      <c r="L72" s="445"/>
      <c r="M72" s="445"/>
      <c r="N72" s="445"/>
      <c r="O72" s="445"/>
      <c r="P72" s="445"/>
      <c r="Q72" s="445"/>
      <c r="R72" s="445"/>
      <c r="S72" s="445"/>
      <c r="T72" s="445"/>
      <c r="U72" s="445"/>
      <c r="V72" s="445"/>
    </row>
    <row r="73" spans="1:22" ht="11.4">
      <c r="A73" s="802"/>
      <c r="B73" s="802"/>
      <c r="C73" s="802"/>
      <c r="D73" s="802"/>
      <c r="E73" s="802"/>
      <c r="F73" s="802"/>
      <c r="G73" s="802"/>
      <c r="H73" s="802"/>
      <c r="I73" s="802"/>
      <c r="J73" s="445"/>
      <c r="K73" s="445"/>
      <c r="L73" s="445"/>
      <c r="M73" s="445"/>
      <c r="N73" s="445"/>
      <c r="O73" s="445"/>
      <c r="P73" s="445"/>
      <c r="Q73" s="445"/>
      <c r="R73" s="445"/>
      <c r="S73" s="445"/>
      <c r="T73" s="445"/>
      <c r="U73" s="445"/>
      <c r="V73" s="445"/>
    </row>
    <row r="74" spans="1:22" ht="11.4">
      <c r="A74" s="802"/>
      <c r="B74" s="802"/>
      <c r="C74" s="802"/>
      <c r="D74" s="802"/>
      <c r="E74" s="802"/>
      <c r="F74" s="802"/>
      <c r="G74" s="802"/>
      <c r="H74" s="802"/>
      <c r="I74" s="802"/>
      <c r="J74" s="445"/>
      <c r="K74" s="445"/>
      <c r="L74" s="445"/>
      <c r="M74" s="445"/>
      <c r="N74" s="445"/>
      <c r="O74" s="445"/>
      <c r="P74" s="445"/>
      <c r="Q74" s="445"/>
      <c r="R74" s="445"/>
      <c r="S74" s="445"/>
      <c r="T74" s="445"/>
      <c r="U74" s="445"/>
      <c r="V74" s="445"/>
    </row>
    <row r="75" spans="1:22" ht="11.4">
      <c r="A75" s="802"/>
      <c r="B75" s="802"/>
      <c r="C75" s="802"/>
      <c r="D75" s="802"/>
      <c r="E75" s="802"/>
      <c r="F75" s="802"/>
      <c r="G75" s="802"/>
      <c r="H75" s="802"/>
      <c r="I75" s="802"/>
      <c r="J75" s="445"/>
      <c r="K75" s="445"/>
      <c r="L75" s="445"/>
      <c r="M75" s="445"/>
      <c r="N75" s="445"/>
      <c r="O75" s="445"/>
      <c r="P75" s="445"/>
      <c r="Q75" s="445"/>
      <c r="R75" s="445"/>
      <c r="S75" s="445"/>
      <c r="T75" s="445"/>
      <c r="U75" s="445"/>
      <c r="V75" s="445"/>
    </row>
    <row r="76" spans="1:22" ht="11.4">
      <c r="A76" s="802"/>
      <c r="B76" s="802"/>
      <c r="C76" s="802"/>
      <c r="D76" s="802"/>
      <c r="E76" s="802"/>
      <c r="F76" s="802"/>
      <c r="G76" s="802"/>
      <c r="H76" s="802"/>
      <c r="I76" s="802"/>
      <c r="J76" s="445"/>
      <c r="K76" s="445"/>
      <c r="L76" s="445"/>
      <c r="M76" s="445"/>
      <c r="N76" s="445"/>
      <c r="O76" s="445"/>
      <c r="P76" s="445"/>
      <c r="Q76" s="445"/>
      <c r="R76" s="445"/>
      <c r="S76" s="445"/>
      <c r="T76" s="445"/>
      <c r="U76" s="445"/>
      <c r="V76" s="445"/>
    </row>
    <row r="77" spans="1:22" ht="11.4">
      <c r="J77" s="445"/>
      <c r="K77" s="445"/>
      <c r="L77" s="445"/>
      <c r="M77" s="445"/>
      <c r="N77" s="445"/>
      <c r="O77" s="445"/>
      <c r="P77" s="445"/>
      <c r="Q77" s="445"/>
      <c r="R77" s="445"/>
      <c r="S77" s="445"/>
      <c r="T77" s="445"/>
      <c r="U77" s="445"/>
      <c r="V77" s="445"/>
    </row>
    <row r="78" spans="1:22" ht="11.4">
      <c r="J78" s="445"/>
      <c r="K78" s="445"/>
      <c r="L78" s="445"/>
      <c r="M78" s="445"/>
      <c r="N78" s="445"/>
      <c r="O78" s="445"/>
      <c r="P78" s="445"/>
      <c r="Q78" s="445"/>
      <c r="R78" s="445"/>
      <c r="S78" s="445"/>
      <c r="T78" s="445"/>
      <c r="U78" s="445"/>
      <c r="V78" s="445"/>
    </row>
    <row r="79" spans="1:22" ht="11.4">
      <c r="J79" s="445"/>
      <c r="K79" s="445"/>
      <c r="L79" s="445"/>
      <c r="M79" s="445"/>
      <c r="N79" s="445"/>
      <c r="O79" s="445"/>
      <c r="P79" s="445"/>
      <c r="Q79" s="445"/>
      <c r="R79" s="445"/>
      <c r="S79" s="445"/>
      <c r="T79" s="445"/>
      <c r="U79" s="445"/>
      <c r="V79" s="445"/>
    </row>
    <row r="80" spans="1:22" ht="11.4">
      <c r="J80" s="445"/>
      <c r="K80" s="445"/>
      <c r="L80" s="445"/>
      <c r="M80" s="445"/>
      <c r="N80" s="445"/>
      <c r="O80" s="445"/>
      <c r="P80" s="445"/>
      <c r="Q80" s="445"/>
      <c r="R80" s="445"/>
      <c r="S80" s="445"/>
      <c r="T80" s="445"/>
      <c r="U80" s="445"/>
      <c r="V80" s="445"/>
    </row>
    <row r="81" spans="10:22" ht="11.4">
      <c r="J81" s="445"/>
      <c r="K81" s="445"/>
      <c r="L81" s="445"/>
      <c r="M81" s="445"/>
      <c r="N81" s="445"/>
      <c r="O81" s="445"/>
      <c r="P81" s="445"/>
      <c r="Q81" s="445"/>
      <c r="R81" s="445"/>
      <c r="S81" s="445"/>
      <c r="T81" s="445"/>
      <c r="U81" s="445"/>
      <c r="V81" s="445"/>
    </row>
    <row r="82" spans="10:22" ht="11.4">
      <c r="J82" s="445"/>
      <c r="K82" s="445"/>
      <c r="L82" s="445"/>
      <c r="M82" s="445"/>
      <c r="N82" s="445"/>
      <c r="O82" s="445"/>
      <c r="P82" s="445"/>
      <c r="Q82" s="445"/>
      <c r="R82" s="445"/>
      <c r="S82" s="445"/>
      <c r="T82" s="445"/>
      <c r="U82" s="445"/>
      <c r="V82" s="445"/>
    </row>
    <row r="83" spans="10:22" ht="11.4">
      <c r="J83" s="445"/>
      <c r="K83" s="445"/>
      <c r="L83" s="445"/>
      <c r="M83" s="445"/>
      <c r="N83" s="445"/>
      <c r="O83" s="445"/>
      <c r="P83" s="445"/>
      <c r="Q83" s="445"/>
      <c r="R83" s="445"/>
      <c r="S83" s="445"/>
      <c r="T83" s="445"/>
      <c r="U83" s="445"/>
      <c r="V83" s="445"/>
    </row>
    <row r="84" spans="10:22" ht="11.4">
      <c r="J84" s="445"/>
      <c r="K84" s="445"/>
      <c r="L84" s="445"/>
      <c r="M84" s="445"/>
      <c r="N84" s="445"/>
      <c r="O84" s="445"/>
      <c r="P84" s="445"/>
      <c r="Q84" s="445"/>
      <c r="R84" s="445"/>
      <c r="S84" s="445"/>
      <c r="T84" s="445"/>
      <c r="U84" s="445"/>
      <c r="V84" s="445"/>
    </row>
    <row r="85" spans="10:22" ht="11.4">
      <c r="J85" s="445"/>
      <c r="K85" s="445"/>
      <c r="L85" s="445"/>
      <c r="M85" s="445"/>
      <c r="N85" s="445"/>
      <c r="O85" s="445"/>
      <c r="P85" s="445"/>
      <c r="Q85" s="445"/>
      <c r="R85" s="445"/>
      <c r="S85" s="445"/>
      <c r="T85" s="445"/>
      <c r="U85" s="445"/>
      <c r="V85" s="445"/>
    </row>
    <row r="86" spans="10:22" ht="11.4">
      <c r="J86" s="445"/>
      <c r="K86" s="445"/>
      <c r="L86" s="445"/>
      <c r="M86" s="445"/>
      <c r="N86" s="445"/>
      <c r="O86" s="445"/>
      <c r="P86" s="445"/>
      <c r="Q86" s="445"/>
      <c r="R86" s="445"/>
      <c r="S86" s="445"/>
      <c r="T86" s="445"/>
      <c r="U86" s="445"/>
      <c r="V86" s="445"/>
    </row>
    <row r="87" spans="10:22" ht="11.4">
      <c r="J87" s="445"/>
      <c r="K87" s="445"/>
      <c r="L87" s="445"/>
      <c r="M87" s="445"/>
      <c r="N87" s="445"/>
      <c r="O87" s="445"/>
      <c r="P87" s="445"/>
      <c r="Q87" s="445"/>
      <c r="R87" s="445"/>
      <c r="S87" s="445"/>
      <c r="T87" s="445"/>
      <c r="U87" s="445"/>
      <c r="V87" s="445"/>
    </row>
    <row r="88" spans="10:22" ht="11.4">
      <c r="J88" s="445"/>
      <c r="K88" s="445"/>
      <c r="L88" s="445"/>
      <c r="M88" s="445"/>
      <c r="N88" s="445"/>
      <c r="O88" s="445"/>
      <c r="P88" s="445"/>
      <c r="Q88" s="445"/>
      <c r="R88" s="445"/>
      <c r="S88" s="445"/>
      <c r="T88" s="445"/>
      <c r="U88" s="445"/>
      <c r="V88" s="445"/>
    </row>
    <row r="89" spans="10:22" ht="11.4">
      <c r="J89" s="445"/>
      <c r="K89" s="445"/>
      <c r="L89" s="445"/>
      <c r="M89" s="445"/>
      <c r="N89" s="445"/>
      <c r="O89" s="445"/>
      <c r="P89" s="445"/>
      <c r="Q89" s="445"/>
      <c r="R89" s="445"/>
      <c r="S89" s="445"/>
      <c r="T89" s="445"/>
      <c r="U89" s="445"/>
      <c r="V89" s="445"/>
    </row>
    <row r="90" spans="10:22" ht="11.4">
      <c r="J90" s="445"/>
      <c r="K90" s="445"/>
      <c r="L90" s="445"/>
      <c r="M90" s="445"/>
      <c r="N90" s="445"/>
      <c r="O90" s="445"/>
      <c r="P90" s="445"/>
      <c r="Q90" s="445"/>
      <c r="R90" s="445"/>
      <c r="S90" s="445"/>
      <c r="T90" s="445"/>
      <c r="U90" s="445"/>
      <c r="V90" s="445"/>
    </row>
    <row r="91" spans="10:22" ht="11.4">
      <c r="J91" s="445"/>
      <c r="K91" s="445"/>
      <c r="L91" s="445"/>
      <c r="M91" s="445"/>
      <c r="N91" s="445"/>
      <c r="O91" s="445"/>
      <c r="P91" s="445"/>
      <c r="Q91" s="445"/>
      <c r="R91" s="445"/>
      <c r="S91" s="445"/>
      <c r="T91" s="445"/>
      <c r="U91" s="445"/>
      <c r="V91" s="445"/>
    </row>
    <row r="92" spans="10:22" ht="11.4">
      <c r="J92" s="445"/>
      <c r="K92" s="445"/>
      <c r="L92" s="445"/>
      <c r="M92" s="445"/>
      <c r="N92" s="445"/>
      <c r="O92" s="445"/>
      <c r="P92" s="445"/>
      <c r="Q92" s="445"/>
      <c r="R92" s="445"/>
      <c r="S92" s="445"/>
      <c r="T92" s="445"/>
      <c r="U92" s="445"/>
      <c r="V92" s="445"/>
    </row>
    <row r="93" spans="10:22" ht="11.4">
      <c r="J93" s="445"/>
      <c r="K93" s="445"/>
      <c r="L93" s="445"/>
      <c r="M93" s="445"/>
      <c r="N93" s="445"/>
      <c r="O93" s="445"/>
      <c r="P93" s="445"/>
      <c r="Q93" s="445"/>
      <c r="R93" s="445"/>
      <c r="S93" s="445"/>
      <c r="T93" s="445"/>
      <c r="U93" s="445"/>
      <c r="V93" s="445"/>
    </row>
    <row r="94" spans="10:22" ht="11.4">
      <c r="J94" s="445"/>
      <c r="K94" s="445"/>
      <c r="L94" s="445"/>
      <c r="M94" s="445"/>
      <c r="N94" s="445"/>
      <c r="O94" s="445"/>
      <c r="P94" s="445"/>
      <c r="Q94" s="445"/>
      <c r="R94" s="445"/>
      <c r="S94" s="445"/>
      <c r="T94" s="445"/>
      <c r="U94" s="445"/>
      <c r="V94" s="445"/>
    </row>
    <row r="95" spans="10:22" ht="11.4">
      <c r="J95" s="445"/>
      <c r="K95" s="445"/>
      <c r="L95" s="445"/>
      <c r="M95" s="445"/>
      <c r="N95" s="445"/>
      <c r="O95" s="445"/>
      <c r="P95" s="445"/>
      <c r="Q95" s="445"/>
      <c r="R95" s="445"/>
      <c r="S95" s="445"/>
      <c r="T95" s="445"/>
      <c r="U95" s="445"/>
      <c r="V95" s="445"/>
    </row>
    <row r="96" spans="10:22" ht="11.4">
      <c r="J96" s="445"/>
      <c r="K96" s="445"/>
      <c r="L96" s="445"/>
      <c r="M96" s="445"/>
      <c r="N96" s="445"/>
      <c r="O96" s="445"/>
      <c r="P96" s="445"/>
      <c r="Q96" s="445"/>
      <c r="R96" s="445"/>
      <c r="S96" s="445"/>
      <c r="T96" s="445"/>
      <c r="U96" s="445"/>
      <c r="V96" s="445"/>
    </row>
    <row r="97" spans="10:22" ht="11.4">
      <c r="J97" s="445"/>
      <c r="K97" s="445"/>
      <c r="L97" s="445"/>
      <c r="M97" s="445"/>
      <c r="N97" s="445"/>
      <c r="O97" s="445"/>
      <c r="P97" s="445"/>
      <c r="Q97" s="445"/>
      <c r="R97" s="445"/>
      <c r="S97" s="445"/>
      <c r="T97" s="445"/>
      <c r="U97" s="445"/>
      <c r="V97" s="445"/>
    </row>
    <row r="98" spans="10:22" ht="11.4">
      <c r="J98" s="445"/>
      <c r="K98" s="445"/>
      <c r="L98" s="445"/>
      <c r="M98" s="445"/>
      <c r="N98" s="445"/>
      <c r="O98" s="445"/>
      <c r="P98" s="445"/>
      <c r="Q98" s="445"/>
      <c r="R98" s="445"/>
      <c r="S98" s="445"/>
      <c r="T98" s="445"/>
      <c r="U98" s="445"/>
      <c r="V98" s="445"/>
    </row>
    <row r="99" spans="10:22" ht="11.4">
      <c r="J99" s="445"/>
      <c r="K99" s="445"/>
      <c r="L99" s="445"/>
      <c r="M99" s="445"/>
      <c r="N99" s="445"/>
      <c r="O99" s="445"/>
      <c r="P99" s="445"/>
      <c r="Q99" s="445"/>
      <c r="R99" s="445"/>
      <c r="S99" s="445"/>
      <c r="T99" s="445"/>
      <c r="U99" s="445"/>
      <c r="V99" s="445"/>
    </row>
    <row r="100" spans="10:22" ht="11.4">
      <c r="J100" s="445"/>
      <c r="K100" s="445"/>
      <c r="L100" s="445"/>
      <c r="M100" s="445"/>
      <c r="N100" s="445"/>
      <c r="O100" s="445"/>
      <c r="P100" s="445"/>
      <c r="Q100" s="445"/>
      <c r="R100" s="445"/>
      <c r="S100" s="445"/>
      <c r="T100" s="445"/>
      <c r="U100" s="445"/>
      <c r="V100" s="445"/>
    </row>
    <row r="101" spans="10:22" ht="11.4">
      <c r="J101" s="445"/>
      <c r="K101" s="445"/>
      <c r="L101" s="445"/>
      <c r="M101" s="445"/>
      <c r="N101" s="445"/>
      <c r="O101" s="445"/>
      <c r="P101" s="445"/>
      <c r="Q101" s="445"/>
      <c r="R101" s="445"/>
      <c r="S101" s="445"/>
      <c r="T101" s="445"/>
      <c r="U101" s="445"/>
      <c r="V101" s="445"/>
    </row>
    <row r="102" spans="10:22" ht="11.4">
      <c r="J102" s="445"/>
      <c r="K102" s="445"/>
      <c r="L102" s="445"/>
      <c r="M102" s="445"/>
      <c r="N102" s="445"/>
      <c r="O102" s="445"/>
      <c r="P102" s="445"/>
      <c r="Q102" s="445"/>
      <c r="R102" s="445"/>
      <c r="S102" s="445"/>
      <c r="T102" s="445"/>
      <c r="U102" s="445"/>
      <c r="V102" s="445"/>
    </row>
    <row r="103" spans="10:22" ht="11.4">
      <c r="J103" s="445"/>
      <c r="K103" s="445"/>
      <c r="L103" s="445"/>
      <c r="M103" s="445"/>
      <c r="N103" s="445"/>
      <c r="O103" s="445"/>
      <c r="P103" s="445"/>
      <c r="Q103" s="445"/>
      <c r="R103" s="445"/>
      <c r="S103" s="445"/>
      <c r="T103" s="445"/>
      <c r="U103" s="445"/>
      <c r="V103" s="445"/>
    </row>
    <row r="104" spans="10:22" ht="11.4">
      <c r="J104" s="445"/>
      <c r="K104" s="445"/>
      <c r="L104" s="445"/>
      <c r="M104" s="445"/>
      <c r="N104" s="445"/>
      <c r="O104" s="445"/>
      <c r="P104" s="445"/>
      <c r="Q104" s="445"/>
      <c r="R104" s="445"/>
      <c r="S104" s="445"/>
      <c r="T104" s="445"/>
      <c r="U104" s="445"/>
      <c r="V104" s="445"/>
    </row>
    <row r="105" spans="10:22" ht="11.4">
      <c r="J105" s="445"/>
      <c r="K105" s="445"/>
      <c r="L105" s="445"/>
      <c r="M105" s="445"/>
      <c r="N105" s="445"/>
      <c r="O105" s="445"/>
      <c r="P105" s="445"/>
      <c r="Q105" s="445"/>
      <c r="R105" s="445"/>
      <c r="S105" s="445"/>
      <c r="T105" s="445"/>
      <c r="U105" s="445"/>
      <c r="V105" s="445"/>
    </row>
    <row r="106" spans="10:22" ht="11.4">
      <c r="J106" s="445"/>
      <c r="K106" s="445"/>
      <c r="L106" s="445"/>
      <c r="M106" s="445"/>
      <c r="N106" s="445"/>
      <c r="O106" s="445"/>
      <c r="P106" s="445"/>
      <c r="Q106" s="445"/>
      <c r="R106" s="445"/>
      <c r="S106" s="445"/>
      <c r="T106" s="445"/>
      <c r="U106" s="445"/>
      <c r="V106" s="445"/>
    </row>
    <row r="107" spans="10:22" ht="11.4">
      <c r="J107" s="445"/>
      <c r="K107" s="445"/>
      <c r="L107" s="445"/>
      <c r="M107" s="445"/>
      <c r="N107" s="445"/>
      <c r="O107" s="445"/>
      <c r="P107" s="445"/>
      <c r="Q107" s="445"/>
      <c r="R107" s="445"/>
      <c r="S107" s="445"/>
      <c r="T107" s="445"/>
      <c r="U107" s="445"/>
      <c r="V107" s="445"/>
    </row>
    <row r="108" spans="10:22" ht="11.4">
      <c r="J108" s="445"/>
      <c r="K108" s="445"/>
      <c r="L108" s="445"/>
      <c r="M108" s="445"/>
      <c r="N108" s="445"/>
      <c r="O108" s="445"/>
      <c r="P108" s="445"/>
      <c r="Q108" s="445"/>
      <c r="R108" s="445"/>
      <c r="S108" s="445"/>
      <c r="T108" s="445"/>
      <c r="U108" s="445"/>
      <c r="V108" s="445"/>
    </row>
    <row r="109" spans="10:22" ht="11.4">
      <c r="J109" s="445"/>
      <c r="K109" s="445"/>
      <c r="L109" s="445"/>
      <c r="M109" s="445"/>
      <c r="N109" s="445"/>
      <c r="O109" s="445"/>
      <c r="P109" s="445"/>
      <c r="Q109" s="445"/>
      <c r="R109" s="445"/>
      <c r="S109" s="445"/>
      <c r="T109" s="445"/>
      <c r="U109" s="445"/>
      <c r="V109" s="445"/>
    </row>
    <row r="110" spans="10:22" ht="11.4">
      <c r="J110" s="445"/>
      <c r="K110" s="445"/>
      <c r="L110" s="445"/>
      <c r="M110" s="445"/>
      <c r="N110" s="445"/>
      <c r="O110" s="445"/>
      <c r="P110" s="445"/>
      <c r="Q110" s="445"/>
      <c r="R110" s="445"/>
      <c r="S110" s="445"/>
      <c r="T110" s="445"/>
      <c r="U110" s="445"/>
      <c r="V110" s="445"/>
    </row>
    <row r="111" spans="10:22" ht="11.4">
      <c r="J111" s="445"/>
      <c r="K111" s="445"/>
      <c r="L111" s="445"/>
      <c r="M111" s="445"/>
      <c r="N111" s="445"/>
      <c r="O111" s="445"/>
      <c r="P111" s="445"/>
      <c r="Q111" s="445"/>
      <c r="R111" s="445"/>
      <c r="S111" s="445"/>
      <c r="T111" s="445"/>
      <c r="U111" s="445"/>
      <c r="V111" s="445"/>
    </row>
    <row r="112" spans="10:22" ht="11.4">
      <c r="J112" s="445"/>
      <c r="K112" s="445"/>
      <c r="L112" s="445"/>
      <c r="M112" s="445"/>
      <c r="N112" s="445"/>
      <c r="O112" s="445"/>
      <c r="P112" s="445"/>
      <c r="Q112" s="445"/>
      <c r="R112" s="445"/>
      <c r="S112" s="445"/>
      <c r="T112" s="445"/>
      <c r="U112" s="445"/>
      <c r="V112" s="445"/>
    </row>
    <row r="113" spans="10:22" ht="11.4">
      <c r="J113" s="445"/>
      <c r="K113" s="445"/>
      <c r="L113" s="445"/>
      <c r="M113" s="445"/>
      <c r="N113" s="445"/>
      <c r="O113" s="445"/>
      <c r="P113" s="445"/>
      <c r="Q113" s="445"/>
      <c r="R113" s="445"/>
      <c r="S113" s="445"/>
      <c r="T113" s="445"/>
      <c r="U113" s="445"/>
      <c r="V113" s="445"/>
    </row>
    <row r="114" spans="10:22" ht="11.4">
      <c r="J114" s="445"/>
      <c r="K114" s="445"/>
      <c r="L114" s="445"/>
      <c r="M114" s="445"/>
      <c r="N114" s="445"/>
      <c r="O114" s="445"/>
      <c r="P114" s="445"/>
      <c r="Q114" s="445"/>
      <c r="R114" s="445"/>
      <c r="S114" s="445"/>
      <c r="T114" s="445"/>
      <c r="U114" s="445"/>
      <c r="V114" s="445"/>
    </row>
    <row r="115" spans="10:22" ht="11.4">
      <c r="J115" s="445"/>
      <c r="K115" s="445"/>
      <c r="L115" s="445"/>
      <c r="M115" s="445"/>
      <c r="N115" s="445"/>
      <c r="O115" s="445"/>
      <c r="P115" s="445"/>
      <c r="Q115" s="445"/>
      <c r="R115" s="445"/>
      <c r="S115" s="445"/>
      <c r="T115" s="445"/>
      <c r="U115" s="445"/>
      <c r="V115" s="445"/>
    </row>
    <row r="116" spans="10:22" ht="11.4">
      <c r="J116" s="445"/>
      <c r="K116" s="445"/>
      <c r="L116" s="445"/>
      <c r="M116" s="445"/>
      <c r="N116" s="445"/>
      <c r="O116" s="445"/>
      <c r="P116" s="445"/>
      <c r="Q116" s="445"/>
      <c r="R116" s="445"/>
      <c r="S116" s="445"/>
      <c r="T116" s="445"/>
      <c r="U116" s="445"/>
      <c r="V116" s="445"/>
    </row>
    <row r="117" spans="10:22" ht="11.4">
      <c r="J117" s="445"/>
      <c r="K117" s="445"/>
      <c r="L117" s="445"/>
      <c r="M117" s="445"/>
      <c r="N117" s="445"/>
      <c r="O117" s="445"/>
      <c r="P117" s="445"/>
      <c r="Q117" s="445"/>
      <c r="R117" s="445"/>
      <c r="S117" s="445"/>
      <c r="T117" s="445"/>
      <c r="U117" s="445"/>
      <c r="V117" s="445"/>
    </row>
    <row r="118" spans="10:22" ht="11.4">
      <c r="J118" s="445"/>
      <c r="K118" s="445"/>
      <c r="L118" s="445"/>
      <c r="M118" s="445"/>
      <c r="N118" s="445"/>
      <c r="O118" s="445"/>
      <c r="P118" s="445"/>
      <c r="Q118" s="445"/>
      <c r="R118" s="445"/>
      <c r="S118" s="445"/>
      <c r="T118" s="445"/>
      <c r="U118" s="445"/>
      <c r="V118" s="445"/>
    </row>
    <row r="119" spans="10:22" ht="11.4">
      <c r="J119" s="445"/>
      <c r="K119" s="445"/>
      <c r="L119" s="445"/>
      <c r="M119" s="445"/>
      <c r="N119" s="445"/>
      <c r="O119" s="445"/>
      <c r="P119" s="445"/>
      <c r="Q119" s="445"/>
      <c r="R119" s="445"/>
      <c r="S119" s="445"/>
      <c r="T119" s="445"/>
      <c r="U119" s="445"/>
      <c r="V119" s="445"/>
    </row>
    <row r="120" spans="10:22" ht="11.4">
      <c r="J120" s="445"/>
      <c r="K120" s="445"/>
      <c r="L120" s="445"/>
      <c r="M120" s="445"/>
      <c r="N120" s="445"/>
      <c r="O120" s="445"/>
      <c r="P120" s="445"/>
      <c r="Q120" s="445"/>
      <c r="R120" s="445"/>
      <c r="S120" s="445"/>
      <c r="T120" s="445"/>
      <c r="U120" s="445"/>
      <c r="V120" s="445"/>
    </row>
    <row r="121" spans="10:22" ht="11.4">
      <c r="J121" s="445"/>
      <c r="K121" s="445"/>
      <c r="L121" s="445"/>
      <c r="M121" s="445"/>
      <c r="N121" s="445"/>
      <c r="O121" s="445"/>
      <c r="P121" s="445"/>
      <c r="Q121" s="445"/>
      <c r="R121" s="445"/>
      <c r="S121" s="445"/>
      <c r="T121" s="445"/>
      <c r="U121" s="445"/>
      <c r="V121" s="445"/>
    </row>
    <row r="122" spans="10:22" ht="11.4">
      <c r="J122" s="445"/>
      <c r="K122" s="445"/>
      <c r="L122" s="445"/>
      <c r="M122" s="445"/>
      <c r="N122" s="445"/>
      <c r="O122" s="445"/>
      <c r="P122" s="445"/>
      <c r="Q122" s="445"/>
      <c r="R122" s="445"/>
      <c r="S122" s="445"/>
      <c r="T122" s="445"/>
      <c r="U122" s="445"/>
      <c r="V122" s="445"/>
    </row>
    <row r="123" spans="10:22" ht="11.4">
      <c r="J123" s="445"/>
      <c r="K123" s="445"/>
      <c r="L123" s="445"/>
      <c r="M123" s="445"/>
      <c r="N123" s="445"/>
      <c r="O123" s="445"/>
      <c r="P123" s="445"/>
      <c r="Q123" s="445"/>
      <c r="R123" s="445"/>
      <c r="S123" s="445"/>
      <c r="T123" s="445"/>
      <c r="U123" s="445"/>
      <c r="V123" s="445"/>
    </row>
    <row r="124" spans="10:22" ht="11.4">
      <c r="J124" s="445"/>
      <c r="K124" s="445"/>
      <c r="L124" s="445"/>
      <c r="M124" s="445"/>
      <c r="N124" s="445"/>
      <c r="O124" s="445"/>
      <c r="P124" s="445"/>
      <c r="Q124" s="445"/>
      <c r="R124" s="445"/>
      <c r="S124" s="445"/>
      <c r="T124" s="445"/>
      <c r="U124" s="445"/>
      <c r="V124" s="445"/>
    </row>
    <row r="125" spans="10:22" ht="11.4">
      <c r="J125" s="445"/>
      <c r="K125" s="445"/>
      <c r="L125" s="445"/>
      <c r="M125" s="445"/>
      <c r="N125" s="445"/>
      <c r="O125" s="445"/>
      <c r="P125" s="445"/>
      <c r="Q125" s="445"/>
      <c r="R125" s="445"/>
      <c r="S125" s="445"/>
      <c r="T125" s="445"/>
      <c r="U125" s="445"/>
      <c r="V125" s="445"/>
    </row>
    <row r="126" spans="10:22" ht="11.4">
      <c r="J126" s="445"/>
      <c r="K126" s="445"/>
      <c r="L126" s="445"/>
      <c r="M126" s="445"/>
      <c r="N126" s="445"/>
      <c r="O126" s="445"/>
      <c r="P126" s="445"/>
      <c r="Q126" s="445"/>
      <c r="R126" s="445"/>
      <c r="S126" s="445"/>
      <c r="T126" s="445"/>
      <c r="U126" s="445"/>
      <c r="V126" s="445"/>
    </row>
    <row r="127" spans="10:22" ht="11.4">
      <c r="J127" s="445"/>
      <c r="K127" s="445"/>
      <c r="L127" s="445"/>
      <c r="M127" s="445"/>
      <c r="N127" s="445"/>
      <c r="O127" s="445"/>
      <c r="P127" s="445"/>
      <c r="Q127" s="445"/>
      <c r="R127" s="445"/>
      <c r="S127" s="445"/>
      <c r="T127" s="445"/>
      <c r="U127" s="445"/>
      <c r="V127" s="445"/>
    </row>
    <row r="128" spans="10:22" ht="11.4">
      <c r="J128" s="445"/>
      <c r="K128" s="445"/>
      <c r="L128" s="445"/>
      <c r="M128" s="445"/>
      <c r="N128" s="445"/>
      <c r="O128" s="445"/>
      <c r="P128" s="445"/>
      <c r="Q128" s="445"/>
      <c r="R128" s="445"/>
      <c r="S128" s="445"/>
      <c r="T128" s="445"/>
      <c r="U128" s="445"/>
      <c r="V128" s="445"/>
    </row>
    <row r="129" spans="10:22" ht="11.4">
      <c r="J129" s="445"/>
      <c r="K129" s="445"/>
      <c r="L129" s="445"/>
      <c r="M129" s="445"/>
      <c r="N129" s="445"/>
      <c r="O129" s="445"/>
      <c r="P129" s="445"/>
      <c r="Q129" s="445"/>
      <c r="R129" s="445"/>
      <c r="S129" s="445"/>
      <c r="T129" s="445"/>
      <c r="U129" s="445"/>
      <c r="V129" s="445"/>
    </row>
    <row r="130" spans="10:22" ht="11.4">
      <c r="J130" s="445"/>
      <c r="K130" s="445"/>
      <c r="L130" s="445"/>
      <c r="M130" s="445"/>
      <c r="N130" s="445"/>
      <c r="O130" s="445"/>
      <c r="P130" s="445"/>
      <c r="Q130" s="445"/>
      <c r="R130" s="445"/>
      <c r="S130" s="445"/>
      <c r="T130" s="445"/>
      <c r="U130" s="445"/>
      <c r="V130" s="445"/>
    </row>
    <row r="131" spans="10:22" ht="11.4">
      <c r="J131" s="445"/>
      <c r="K131" s="445"/>
      <c r="L131" s="445"/>
      <c r="M131" s="445"/>
      <c r="N131" s="445"/>
      <c r="O131" s="445"/>
      <c r="P131" s="445"/>
      <c r="Q131" s="445"/>
      <c r="R131" s="445"/>
      <c r="S131" s="445"/>
      <c r="T131" s="445"/>
      <c r="U131" s="445"/>
      <c r="V131" s="445"/>
    </row>
    <row r="132" spans="10:22" ht="11.4">
      <c r="J132" s="445"/>
      <c r="K132" s="445"/>
      <c r="L132" s="445"/>
      <c r="M132" s="445"/>
      <c r="N132" s="445"/>
      <c r="O132" s="445"/>
      <c r="P132" s="445"/>
      <c r="Q132" s="445"/>
      <c r="R132" s="445"/>
      <c r="S132" s="445"/>
      <c r="T132" s="445"/>
      <c r="U132" s="445"/>
      <c r="V132" s="445"/>
    </row>
    <row r="133" spans="10:22" ht="11.4">
      <c r="J133" s="445"/>
      <c r="K133" s="445"/>
      <c r="L133" s="445"/>
      <c r="M133" s="445"/>
      <c r="N133" s="445"/>
      <c r="O133" s="445"/>
      <c r="P133" s="445"/>
      <c r="Q133" s="445"/>
      <c r="R133" s="445"/>
      <c r="S133" s="445"/>
      <c r="T133" s="445"/>
      <c r="U133" s="445"/>
      <c r="V133" s="445"/>
    </row>
    <row r="134" spans="10:22" ht="11.4">
      <c r="J134" s="445"/>
      <c r="K134" s="445"/>
      <c r="L134" s="445"/>
      <c r="M134" s="445"/>
      <c r="N134" s="445"/>
      <c r="O134" s="445"/>
      <c r="P134" s="445"/>
      <c r="Q134" s="445"/>
      <c r="R134" s="445"/>
      <c r="S134" s="445"/>
      <c r="T134" s="445"/>
      <c r="U134" s="445"/>
      <c r="V134" s="445"/>
    </row>
    <row r="135" spans="10:22" ht="11.4">
      <c r="J135" s="445"/>
      <c r="K135" s="445"/>
      <c r="L135" s="445"/>
      <c r="M135" s="445"/>
      <c r="N135" s="445"/>
      <c r="O135" s="445"/>
      <c r="P135" s="445"/>
      <c r="Q135" s="445"/>
      <c r="R135" s="445"/>
      <c r="S135" s="445"/>
      <c r="T135" s="445"/>
      <c r="U135" s="445"/>
      <c r="V135" s="445"/>
    </row>
    <row r="136" spans="10:22" ht="11.4">
      <c r="J136" s="445"/>
      <c r="K136" s="445"/>
      <c r="L136" s="445"/>
      <c r="M136" s="445"/>
      <c r="N136" s="445"/>
      <c r="O136" s="445"/>
      <c r="P136" s="445"/>
      <c r="Q136" s="445"/>
      <c r="R136" s="445"/>
      <c r="S136" s="445"/>
      <c r="T136" s="445"/>
      <c r="U136" s="445"/>
      <c r="V136" s="445"/>
    </row>
    <row r="137" spans="10:22" ht="11.4">
      <c r="J137" s="445"/>
      <c r="K137" s="445"/>
      <c r="L137" s="445"/>
      <c r="M137" s="445"/>
      <c r="N137" s="445"/>
      <c r="O137" s="445"/>
      <c r="P137" s="445"/>
      <c r="Q137" s="445"/>
      <c r="R137" s="445"/>
      <c r="S137" s="445"/>
      <c r="T137" s="445"/>
      <c r="U137" s="445"/>
      <c r="V137" s="445"/>
    </row>
    <row r="138" spans="10:22" ht="11.4">
      <c r="J138" s="445"/>
      <c r="K138" s="445"/>
      <c r="L138" s="445"/>
      <c r="M138" s="445"/>
      <c r="N138" s="445"/>
      <c r="O138" s="445"/>
      <c r="P138" s="445"/>
      <c r="Q138" s="445"/>
      <c r="R138" s="445"/>
      <c r="S138" s="445"/>
      <c r="T138" s="445"/>
      <c r="U138" s="445"/>
      <c r="V138" s="445"/>
    </row>
    <row r="139" spans="10:22" ht="11.4">
      <c r="J139" s="445"/>
      <c r="K139" s="445"/>
      <c r="L139" s="445"/>
      <c r="M139" s="445"/>
      <c r="N139" s="445"/>
      <c r="O139" s="445"/>
      <c r="P139" s="445"/>
      <c r="Q139" s="445"/>
      <c r="R139" s="445"/>
      <c r="S139" s="445"/>
      <c r="T139" s="445"/>
      <c r="U139" s="445"/>
      <c r="V139" s="445"/>
    </row>
    <row r="140" spans="10:22" ht="11.4">
      <c r="J140" s="445"/>
      <c r="K140" s="445"/>
      <c r="L140" s="445"/>
      <c r="M140" s="445"/>
      <c r="N140" s="445"/>
      <c r="O140" s="445"/>
      <c r="P140" s="445"/>
      <c r="Q140" s="445"/>
      <c r="R140" s="445"/>
      <c r="S140" s="445"/>
      <c r="T140" s="445"/>
      <c r="U140" s="445"/>
      <c r="V140" s="445"/>
    </row>
    <row r="141" spans="10:22" ht="11.4">
      <c r="J141" s="445"/>
      <c r="K141" s="445"/>
      <c r="L141" s="445"/>
      <c r="M141" s="445"/>
      <c r="N141" s="445"/>
      <c r="O141" s="445"/>
      <c r="P141" s="445"/>
      <c r="Q141" s="445"/>
      <c r="R141" s="445"/>
      <c r="S141" s="445"/>
      <c r="T141" s="445"/>
      <c r="U141" s="445"/>
      <c r="V141" s="445"/>
    </row>
    <row r="142" spans="10:22" ht="11.4">
      <c r="J142" s="445"/>
      <c r="K142" s="445"/>
      <c r="L142" s="445"/>
      <c r="M142" s="445"/>
      <c r="N142" s="445"/>
      <c r="O142" s="445"/>
      <c r="P142" s="445"/>
      <c r="Q142" s="445"/>
      <c r="R142" s="445"/>
      <c r="S142" s="445"/>
      <c r="T142" s="445"/>
      <c r="U142" s="445"/>
      <c r="V142" s="445"/>
    </row>
    <row r="143" spans="10:22" ht="11.4">
      <c r="J143" s="445"/>
      <c r="K143" s="445"/>
      <c r="L143" s="445"/>
      <c r="M143" s="445"/>
      <c r="N143" s="445"/>
      <c r="O143" s="445"/>
      <c r="P143" s="445"/>
      <c r="Q143" s="445"/>
      <c r="R143" s="445"/>
      <c r="S143" s="445"/>
      <c r="T143" s="445"/>
      <c r="U143" s="445"/>
      <c r="V143" s="445"/>
    </row>
    <row r="144" spans="10:22" ht="11.4">
      <c r="J144" s="445"/>
      <c r="K144" s="445"/>
      <c r="L144" s="445"/>
      <c r="M144" s="445"/>
      <c r="N144" s="445"/>
      <c r="O144" s="445"/>
      <c r="P144" s="445"/>
      <c r="Q144" s="445"/>
      <c r="R144" s="445"/>
      <c r="S144" s="445"/>
      <c r="T144" s="445"/>
      <c r="U144" s="445"/>
      <c r="V144" s="445"/>
    </row>
    <row r="145" spans="10:22" ht="11.4">
      <c r="J145" s="445"/>
      <c r="K145" s="445"/>
      <c r="L145" s="445"/>
      <c r="M145" s="445"/>
      <c r="N145" s="445"/>
      <c r="O145" s="445"/>
      <c r="P145" s="445"/>
      <c r="Q145" s="445"/>
      <c r="R145" s="445"/>
      <c r="S145" s="445"/>
      <c r="T145" s="445"/>
      <c r="U145" s="445"/>
      <c r="V145" s="445"/>
    </row>
    <row r="146" spans="10:22" ht="11.4">
      <c r="J146" s="445"/>
      <c r="K146" s="445"/>
      <c r="L146" s="445"/>
      <c r="M146" s="445"/>
      <c r="N146" s="445"/>
      <c r="O146" s="445"/>
      <c r="P146" s="445"/>
      <c r="Q146" s="445"/>
      <c r="R146" s="445"/>
      <c r="S146" s="445"/>
      <c r="T146" s="445"/>
      <c r="U146" s="445"/>
      <c r="V146" s="445"/>
    </row>
    <row r="147" spans="10:22" ht="11.4">
      <c r="J147" s="445"/>
      <c r="K147" s="445"/>
      <c r="L147" s="445"/>
      <c r="M147" s="445"/>
      <c r="N147" s="445"/>
      <c r="O147" s="445"/>
      <c r="P147" s="445"/>
      <c r="Q147" s="445"/>
      <c r="R147" s="445"/>
      <c r="S147" s="445"/>
      <c r="T147" s="445"/>
      <c r="U147" s="445"/>
      <c r="V147" s="445"/>
    </row>
    <row r="148" spans="10:22" ht="11.4">
      <c r="J148" s="445"/>
      <c r="K148" s="445"/>
      <c r="L148" s="445"/>
      <c r="M148" s="445"/>
      <c r="N148" s="445"/>
      <c r="O148" s="445"/>
      <c r="P148" s="445"/>
      <c r="Q148" s="445"/>
      <c r="R148" s="445"/>
      <c r="S148" s="445"/>
      <c r="T148" s="445"/>
      <c r="U148" s="445"/>
      <c r="V148" s="445"/>
    </row>
    <row r="149" spans="10:22" ht="11.4">
      <c r="J149" s="445"/>
      <c r="K149" s="445"/>
      <c r="L149" s="445"/>
      <c r="M149" s="445"/>
      <c r="N149" s="445"/>
      <c r="O149" s="445"/>
      <c r="P149" s="445"/>
      <c r="Q149" s="445"/>
      <c r="R149" s="445"/>
      <c r="S149" s="445"/>
      <c r="T149" s="445"/>
      <c r="U149" s="445"/>
      <c r="V149" s="445"/>
    </row>
    <row r="150" spans="10:22" ht="11.4">
      <c r="J150" s="445"/>
      <c r="K150" s="445"/>
      <c r="L150" s="445"/>
      <c r="M150" s="445"/>
      <c r="N150" s="445"/>
      <c r="O150" s="445"/>
      <c r="P150" s="445"/>
      <c r="Q150" s="445"/>
      <c r="R150" s="445"/>
      <c r="S150" s="445"/>
      <c r="T150" s="445"/>
      <c r="U150" s="445"/>
      <c r="V150" s="445"/>
    </row>
    <row r="151" spans="10:22" ht="11.4">
      <c r="J151" s="445"/>
      <c r="K151" s="445"/>
      <c r="L151" s="445"/>
      <c r="M151" s="445"/>
      <c r="N151" s="445"/>
      <c r="O151" s="445"/>
      <c r="P151" s="445"/>
      <c r="Q151" s="445"/>
      <c r="R151" s="445"/>
      <c r="S151" s="445"/>
      <c r="T151" s="445"/>
      <c r="U151" s="445"/>
      <c r="V151" s="445"/>
    </row>
    <row r="152" spans="10:22" ht="11.4">
      <c r="J152" s="445"/>
      <c r="K152" s="445"/>
      <c r="L152" s="445"/>
      <c r="M152" s="445"/>
      <c r="N152" s="445"/>
      <c r="O152" s="445"/>
      <c r="P152" s="445"/>
      <c r="Q152" s="445"/>
      <c r="R152" s="445"/>
      <c r="S152" s="445"/>
      <c r="T152" s="445"/>
      <c r="U152" s="445"/>
      <c r="V152" s="445"/>
    </row>
    <row r="153" spans="10:22" ht="11.4">
      <c r="J153" s="445"/>
      <c r="K153" s="445"/>
      <c r="L153" s="445"/>
      <c r="M153" s="445"/>
      <c r="N153" s="445"/>
      <c r="O153" s="445"/>
      <c r="P153" s="445"/>
      <c r="Q153" s="445"/>
      <c r="R153" s="445"/>
      <c r="S153" s="445"/>
      <c r="T153" s="445"/>
      <c r="U153" s="445"/>
      <c r="V153" s="445"/>
    </row>
    <row r="154" spans="10:22" ht="11.4">
      <c r="J154" s="445"/>
      <c r="K154" s="445"/>
      <c r="L154" s="445"/>
      <c r="M154" s="445"/>
      <c r="N154" s="445"/>
      <c r="O154" s="445"/>
      <c r="P154" s="445"/>
      <c r="Q154" s="445"/>
      <c r="R154" s="445"/>
      <c r="S154" s="445"/>
      <c r="T154" s="445"/>
      <c r="U154" s="445"/>
      <c r="V154" s="445"/>
    </row>
    <row r="155" spans="10:22" ht="11.4">
      <c r="J155" s="445"/>
      <c r="K155" s="445"/>
      <c r="L155" s="445"/>
      <c r="M155" s="445"/>
      <c r="N155" s="445"/>
      <c r="O155" s="445"/>
      <c r="P155" s="445"/>
      <c r="Q155" s="445"/>
      <c r="R155" s="445"/>
      <c r="S155" s="445"/>
      <c r="T155" s="445"/>
      <c r="U155" s="445"/>
      <c r="V155" s="445"/>
    </row>
    <row r="156" spans="10:22" ht="11.4">
      <c r="J156" s="445"/>
      <c r="K156" s="445"/>
      <c r="L156" s="445"/>
      <c r="M156" s="445"/>
      <c r="N156" s="445"/>
      <c r="O156" s="445"/>
      <c r="P156" s="445"/>
      <c r="Q156" s="445"/>
      <c r="R156" s="445"/>
      <c r="S156" s="445"/>
      <c r="T156" s="445"/>
      <c r="U156" s="445"/>
      <c r="V156" s="445"/>
    </row>
    <row r="157" spans="10:22" ht="11.4">
      <c r="J157" s="445"/>
      <c r="K157" s="445"/>
      <c r="L157" s="445"/>
      <c r="M157" s="445"/>
      <c r="N157" s="445"/>
      <c r="O157" s="445"/>
      <c r="P157" s="445"/>
      <c r="Q157" s="445"/>
      <c r="R157" s="445"/>
      <c r="S157" s="445"/>
      <c r="T157" s="445"/>
      <c r="U157" s="445"/>
      <c r="V157" s="445"/>
    </row>
    <row r="158" spans="10:22" ht="11.4">
      <c r="J158" s="445"/>
      <c r="K158" s="445"/>
      <c r="L158" s="445"/>
      <c r="M158" s="445"/>
      <c r="N158" s="445"/>
      <c r="O158" s="445"/>
      <c r="P158" s="445"/>
      <c r="Q158" s="445"/>
      <c r="R158" s="445"/>
      <c r="S158" s="445"/>
      <c r="T158" s="445"/>
      <c r="U158" s="445"/>
      <c r="V158" s="445"/>
    </row>
    <row r="159" spans="10:22" ht="11.4">
      <c r="J159" s="445"/>
      <c r="K159" s="445"/>
      <c r="L159" s="445"/>
      <c r="M159" s="445"/>
      <c r="N159" s="445"/>
      <c r="O159" s="445"/>
      <c r="P159" s="445"/>
      <c r="Q159" s="445"/>
      <c r="R159" s="445"/>
      <c r="S159" s="445"/>
      <c r="T159" s="445"/>
      <c r="U159" s="445"/>
      <c r="V159" s="445"/>
    </row>
    <row r="160" spans="10:22" ht="11.4">
      <c r="J160" s="445"/>
      <c r="K160" s="445"/>
      <c r="L160" s="445"/>
      <c r="M160" s="445"/>
      <c r="N160" s="445"/>
      <c r="O160" s="445"/>
      <c r="P160" s="445"/>
      <c r="Q160" s="445"/>
      <c r="R160" s="445"/>
      <c r="S160" s="445"/>
      <c r="T160" s="445"/>
      <c r="U160" s="445"/>
      <c r="V160" s="445"/>
    </row>
    <row r="161" spans="10:22" ht="11.4">
      <c r="J161" s="445"/>
      <c r="K161" s="445"/>
      <c r="L161" s="445"/>
      <c r="M161" s="445"/>
      <c r="N161" s="445"/>
      <c r="O161" s="445"/>
      <c r="P161" s="445"/>
      <c r="Q161" s="445"/>
      <c r="R161" s="445"/>
      <c r="S161" s="445"/>
      <c r="T161" s="445"/>
      <c r="U161" s="445"/>
      <c r="V161" s="445"/>
    </row>
    <row r="162" spans="10:22" ht="11.4">
      <c r="J162" s="445"/>
      <c r="K162" s="445"/>
      <c r="L162" s="445"/>
      <c r="M162" s="445"/>
      <c r="N162" s="445"/>
      <c r="O162" s="445"/>
      <c r="P162" s="445"/>
      <c r="Q162" s="445"/>
      <c r="R162" s="445"/>
      <c r="S162" s="445"/>
      <c r="T162" s="445"/>
      <c r="U162" s="445"/>
      <c r="V162" s="445"/>
    </row>
    <row r="163" spans="10:22" ht="11.4">
      <c r="J163" s="445"/>
      <c r="K163" s="445"/>
      <c r="L163" s="445"/>
      <c r="M163" s="445"/>
      <c r="N163" s="445"/>
      <c r="O163" s="445"/>
      <c r="P163" s="445"/>
      <c r="Q163" s="445"/>
      <c r="R163" s="445"/>
      <c r="S163" s="445"/>
      <c r="T163" s="445"/>
      <c r="U163" s="445"/>
      <c r="V163" s="445"/>
    </row>
    <row r="164" spans="10:22" ht="11.4">
      <c r="J164" s="445"/>
      <c r="K164" s="445"/>
      <c r="L164" s="445"/>
      <c r="M164" s="445"/>
      <c r="N164" s="445"/>
      <c r="O164" s="445"/>
      <c r="P164" s="445"/>
      <c r="Q164" s="445"/>
      <c r="R164" s="445"/>
      <c r="S164" s="445"/>
      <c r="T164" s="445"/>
      <c r="U164" s="445"/>
      <c r="V164" s="445"/>
    </row>
    <row r="165" spans="10:22" ht="11.4">
      <c r="J165" s="445"/>
      <c r="K165" s="445"/>
      <c r="L165" s="445"/>
      <c r="M165" s="445"/>
      <c r="N165" s="445"/>
      <c r="O165" s="445"/>
      <c r="P165" s="445"/>
      <c r="Q165" s="445"/>
      <c r="R165" s="445"/>
      <c r="S165" s="445"/>
      <c r="T165" s="445"/>
      <c r="U165" s="445"/>
      <c r="V165" s="445"/>
    </row>
    <row r="166" spans="10:22" ht="11.4">
      <c r="J166" s="445"/>
      <c r="K166" s="445"/>
      <c r="L166" s="445"/>
      <c r="M166" s="445"/>
      <c r="N166" s="445"/>
      <c r="O166" s="445"/>
      <c r="P166" s="445"/>
      <c r="Q166" s="445"/>
      <c r="R166" s="445"/>
      <c r="S166" s="445"/>
      <c r="T166" s="445"/>
      <c r="U166" s="445"/>
      <c r="V166" s="445"/>
    </row>
    <row r="167" spans="10:22" ht="11.4">
      <c r="J167" s="445"/>
      <c r="K167" s="445"/>
      <c r="L167" s="445"/>
      <c r="M167" s="445"/>
      <c r="N167" s="445"/>
      <c r="O167" s="445"/>
      <c r="P167" s="445"/>
      <c r="Q167" s="445"/>
      <c r="R167" s="445"/>
      <c r="S167" s="445"/>
      <c r="T167" s="445"/>
      <c r="U167" s="445"/>
      <c r="V167" s="445"/>
    </row>
    <row r="168" spans="10:22" ht="11.4">
      <c r="J168" s="445"/>
      <c r="K168" s="445"/>
      <c r="L168" s="445"/>
      <c r="M168" s="445"/>
      <c r="N168" s="445"/>
      <c r="O168" s="445"/>
      <c r="P168" s="445"/>
      <c r="Q168" s="445"/>
      <c r="R168" s="445"/>
      <c r="S168" s="445"/>
      <c r="T168" s="445"/>
      <c r="U168" s="445"/>
      <c r="V168" s="445"/>
    </row>
    <row r="169" spans="10:22" ht="11.4">
      <c r="J169" s="445"/>
      <c r="K169" s="445"/>
      <c r="L169" s="445"/>
      <c r="M169" s="445"/>
      <c r="N169" s="445"/>
      <c r="O169" s="445"/>
      <c r="P169" s="445"/>
      <c r="Q169" s="445"/>
      <c r="R169" s="445"/>
      <c r="S169" s="445"/>
      <c r="T169" s="445"/>
      <c r="U169" s="445"/>
      <c r="V169" s="445"/>
    </row>
    <row r="170" spans="10:22" ht="11.4">
      <c r="J170" s="445"/>
      <c r="K170" s="445"/>
      <c r="L170" s="445"/>
      <c r="M170" s="445"/>
      <c r="N170" s="445"/>
      <c r="O170" s="445"/>
      <c r="P170" s="445"/>
      <c r="Q170" s="445"/>
      <c r="R170" s="445"/>
      <c r="S170" s="445"/>
      <c r="T170" s="445"/>
      <c r="U170" s="445"/>
      <c r="V170" s="445"/>
    </row>
    <row r="171" spans="10:22" ht="11.4">
      <c r="J171" s="445"/>
      <c r="K171" s="445"/>
      <c r="L171" s="445"/>
      <c r="M171" s="445"/>
      <c r="N171" s="445"/>
      <c r="O171" s="445"/>
      <c r="P171" s="445"/>
      <c r="Q171" s="445"/>
      <c r="R171" s="445"/>
      <c r="S171" s="445"/>
      <c r="T171" s="445"/>
      <c r="U171" s="445"/>
      <c r="V171" s="445"/>
    </row>
    <row r="172" spans="10:22" ht="11.4">
      <c r="J172" s="445"/>
      <c r="K172" s="445"/>
      <c r="L172" s="445"/>
      <c r="M172" s="445"/>
      <c r="N172" s="445"/>
      <c r="O172" s="445"/>
      <c r="P172" s="445"/>
      <c r="Q172" s="445"/>
      <c r="R172" s="445"/>
      <c r="S172" s="445"/>
      <c r="T172" s="445"/>
      <c r="U172" s="445"/>
      <c r="V172" s="445"/>
    </row>
    <row r="173" spans="10:22" ht="11.4">
      <c r="J173" s="445"/>
      <c r="K173" s="445"/>
      <c r="L173" s="445"/>
      <c r="M173" s="445"/>
      <c r="N173" s="445"/>
      <c r="O173" s="445"/>
      <c r="P173" s="445"/>
      <c r="Q173" s="445"/>
      <c r="R173" s="445"/>
      <c r="S173" s="445"/>
      <c r="T173" s="445"/>
      <c r="U173" s="445"/>
      <c r="V173" s="445"/>
    </row>
    <row r="174" spans="10:22" ht="11.4">
      <c r="J174" s="445"/>
      <c r="K174" s="445"/>
      <c r="L174" s="445"/>
      <c r="M174" s="445"/>
      <c r="N174" s="445"/>
      <c r="O174" s="445"/>
      <c r="P174" s="445"/>
      <c r="Q174" s="445"/>
      <c r="R174" s="445"/>
      <c r="S174" s="445"/>
      <c r="T174" s="445"/>
      <c r="U174" s="445"/>
      <c r="V174" s="445"/>
    </row>
    <row r="175" spans="10:22" ht="11.4">
      <c r="J175" s="445"/>
      <c r="K175" s="445"/>
      <c r="L175" s="445"/>
      <c r="M175" s="445"/>
      <c r="N175" s="445"/>
      <c r="O175" s="445"/>
      <c r="P175" s="445"/>
      <c r="Q175" s="445"/>
      <c r="R175" s="445"/>
      <c r="S175" s="445"/>
      <c r="T175" s="445"/>
      <c r="U175" s="445"/>
      <c r="V175" s="445"/>
    </row>
    <row r="176" spans="10:22" ht="11.4">
      <c r="J176" s="445"/>
      <c r="K176" s="445"/>
      <c r="L176" s="445"/>
      <c r="M176" s="445"/>
      <c r="N176" s="445"/>
      <c r="O176" s="445"/>
      <c r="P176" s="445"/>
      <c r="Q176" s="445"/>
      <c r="R176" s="445"/>
      <c r="S176" s="445"/>
      <c r="T176" s="445"/>
      <c r="U176" s="445"/>
      <c r="V176" s="445"/>
    </row>
    <row r="177" spans="10:22" ht="11.4">
      <c r="J177" s="445"/>
      <c r="K177" s="445"/>
      <c r="L177" s="445"/>
      <c r="M177" s="445"/>
      <c r="N177" s="445"/>
      <c r="O177" s="445"/>
      <c r="P177" s="445"/>
      <c r="Q177" s="445"/>
      <c r="R177" s="445"/>
      <c r="S177" s="445"/>
      <c r="T177" s="445"/>
      <c r="U177" s="445"/>
      <c r="V177" s="445"/>
    </row>
    <row r="178" spans="10:22" ht="11.4">
      <c r="J178" s="445"/>
      <c r="K178" s="445"/>
      <c r="L178" s="445"/>
      <c r="M178" s="445"/>
      <c r="N178" s="445"/>
      <c r="O178" s="445"/>
      <c r="P178" s="445"/>
      <c r="Q178" s="445"/>
      <c r="R178" s="445"/>
      <c r="S178" s="445"/>
      <c r="T178" s="445"/>
      <c r="U178" s="445"/>
      <c r="V178" s="445"/>
    </row>
    <row r="179" spans="10:22" ht="11.4">
      <c r="J179" s="445"/>
      <c r="K179" s="445"/>
      <c r="L179" s="445"/>
      <c r="M179" s="445"/>
      <c r="N179" s="445"/>
      <c r="O179" s="445"/>
      <c r="P179" s="445"/>
      <c r="Q179" s="445"/>
      <c r="R179" s="445"/>
      <c r="S179" s="445"/>
      <c r="T179" s="445"/>
      <c r="U179" s="445"/>
      <c r="V179" s="445"/>
    </row>
    <row r="180" spans="10:22" ht="11.4">
      <c r="J180" s="445"/>
      <c r="K180" s="445"/>
      <c r="L180" s="445"/>
      <c r="M180" s="445"/>
      <c r="N180" s="445"/>
      <c r="O180" s="445"/>
      <c r="P180" s="445"/>
      <c r="Q180" s="445"/>
      <c r="R180" s="445"/>
      <c r="S180" s="445"/>
      <c r="T180" s="445"/>
      <c r="U180" s="445"/>
      <c r="V180" s="445"/>
    </row>
    <row r="181" spans="10:22" ht="11.4">
      <c r="J181" s="445"/>
      <c r="K181" s="445"/>
      <c r="L181" s="445"/>
      <c r="M181" s="445"/>
      <c r="N181" s="445"/>
      <c r="O181" s="445"/>
      <c r="P181" s="445"/>
      <c r="Q181" s="445"/>
      <c r="R181" s="445"/>
      <c r="S181" s="445"/>
      <c r="T181" s="445"/>
      <c r="U181" s="445"/>
      <c r="V181" s="445"/>
    </row>
    <row r="182" spans="10:22" ht="11.4">
      <c r="J182" s="445"/>
      <c r="K182" s="445"/>
      <c r="L182" s="445"/>
      <c r="M182" s="445"/>
      <c r="N182" s="445"/>
      <c r="O182" s="445"/>
      <c r="P182" s="445"/>
      <c r="Q182" s="445"/>
      <c r="R182" s="445"/>
      <c r="S182" s="445"/>
      <c r="T182" s="445"/>
      <c r="U182" s="445"/>
      <c r="V182" s="445"/>
    </row>
    <row r="183" spans="10:22" ht="11.4">
      <c r="J183" s="445"/>
      <c r="K183" s="445"/>
      <c r="L183" s="445"/>
      <c r="M183" s="445"/>
      <c r="N183" s="445"/>
      <c r="O183" s="445"/>
      <c r="P183" s="445"/>
      <c r="Q183" s="445"/>
      <c r="R183" s="445"/>
      <c r="S183" s="445"/>
      <c r="T183" s="445"/>
      <c r="U183" s="445"/>
      <c r="V183" s="445"/>
    </row>
    <row r="184" spans="10:22" ht="11.4">
      <c r="J184" s="445"/>
      <c r="K184" s="445"/>
      <c r="L184" s="445"/>
      <c r="M184" s="445"/>
      <c r="N184" s="445"/>
      <c r="O184" s="445"/>
      <c r="P184" s="445"/>
      <c r="Q184" s="445"/>
      <c r="R184" s="445"/>
      <c r="S184" s="445"/>
      <c r="T184" s="445"/>
      <c r="U184" s="445"/>
      <c r="V184" s="445"/>
    </row>
    <row r="185" spans="10:22" ht="11.4">
      <c r="J185" s="445"/>
      <c r="K185" s="445"/>
      <c r="L185" s="445"/>
      <c r="M185" s="445"/>
      <c r="N185" s="445"/>
      <c r="O185" s="445"/>
      <c r="P185" s="445"/>
      <c r="Q185" s="445"/>
      <c r="R185" s="445"/>
      <c r="S185" s="445"/>
      <c r="T185" s="445"/>
      <c r="U185" s="445"/>
      <c r="V185" s="445"/>
    </row>
    <row r="186" spans="10:22" ht="11.4">
      <c r="J186" s="445"/>
      <c r="K186" s="445"/>
      <c r="L186" s="445"/>
      <c r="M186" s="445"/>
      <c r="N186" s="445"/>
      <c r="O186" s="445"/>
      <c r="P186" s="445"/>
      <c r="Q186" s="445"/>
      <c r="R186" s="445"/>
      <c r="S186" s="445"/>
      <c r="T186" s="445"/>
      <c r="U186" s="445"/>
      <c r="V186" s="445"/>
    </row>
    <row r="187" spans="10:22" ht="11.4">
      <c r="J187" s="445"/>
      <c r="K187" s="445"/>
      <c r="L187" s="445"/>
      <c r="M187" s="445"/>
      <c r="N187" s="445"/>
      <c r="O187" s="445"/>
      <c r="P187" s="445"/>
      <c r="Q187" s="445"/>
      <c r="R187" s="445"/>
      <c r="S187" s="445"/>
      <c r="T187" s="445"/>
      <c r="U187" s="445"/>
      <c r="V187" s="445"/>
    </row>
    <row r="188" spans="10:22" ht="11.4">
      <c r="J188" s="445"/>
      <c r="K188" s="445"/>
      <c r="L188" s="445"/>
      <c r="M188" s="445"/>
      <c r="N188" s="445"/>
      <c r="O188" s="445"/>
      <c r="P188" s="445"/>
      <c r="Q188" s="445"/>
      <c r="R188" s="445"/>
      <c r="S188" s="445"/>
      <c r="T188" s="445"/>
      <c r="U188" s="445"/>
      <c r="V188" s="445"/>
    </row>
    <row r="189" spans="10:22" ht="11.4">
      <c r="J189" s="445"/>
      <c r="K189" s="445"/>
      <c r="L189" s="445"/>
      <c r="M189" s="445"/>
      <c r="N189" s="445"/>
      <c r="O189" s="445"/>
      <c r="P189" s="445"/>
      <c r="Q189" s="445"/>
      <c r="R189" s="445"/>
      <c r="S189" s="445"/>
      <c r="T189" s="445"/>
      <c r="U189" s="445"/>
      <c r="V189" s="445"/>
    </row>
    <row r="190" spans="10:22" ht="11.4">
      <c r="J190" s="445"/>
      <c r="K190" s="445"/>
      <c r="L190" s="445"/>
      <c r="M190" s="445"/>
      <c r="N190" s="445"/>
      <c r="O190" s="445"/>
      <c r="P190" s="445"/>
      <c r="Q190" s="445"/>
      <c r="R190" s="445"/>
      <c r="S190" s="445"/>
      <c r="T190" s="445"/>
      <c r="U190" s="445"/>
      <c r="V190" s="445"/>
    </row>
    <row r="191" spans="10:22" ht="11.4">
      <c r="J191" s="445"/>
      <c r="K191" s="445"/>
      <c r="L191" s="445"/>
      <c r="M191" s="445"/>
      <c r="N191" s="445"/>
      <c r="O191" s="445"/>
      <c r="P191" s="445"/>
      <c r="Q191" s="445"/>
      <c r="R191" s="445"/>
      <c r="S191" s="445"/>
      <c r="T191" s="445"/>
      <c r="U191" s="445"/>
      <c r="V191" s="445"/>
    </row>
    <row r="192" spans="10:22" ht="11.4">
      <c r="J192" s="445"/>
      <c r="K192" s="445"/>
      <c r="L192" s="445"/>
      <c r="M192" s="445"/>
      <c r="N192" s="445"/>
      <c r="O192" s="445"/>
      <c r="P192" s="445"/>
      <c r="Q192" s="445"/>
      <c r="R192" s="445"/>
      <c r="S192" s="445"/>
      <c r="T192" s="445"/>
      <c r="U192" s="445"/>
      <c r="V192" s="445"/>
    </row>
    <row r="193" spans="10:22" ht="11.4">
      <c r="J193" s="445"/>
      <c r="K193" s="445"/>
      <c r="L193" s="445"/>
      <c r="M193" s="445"/>
      <c r="N193" s="445"/>
      <c r="O193" s="445"/>
      <c r="P193" s="445"/>
      <c r="Q193" s="445"/>
      <c r="R193" s="445"/>
      <c r="S193" s="445"/>
      <c r="T193" s="445"/>
      <c r="U193" s="445"/>
      <c r="V193" s="445"/>
    </row>
    <row r="194" spans="10:22" ht="11.4">
      <c r="J194" s="445"/>
      <c r="K194" s="445"/>
      <c r="L194" s="445"/>
      <c r="M194" s="445"/>
      <c r="N194" s="445"/>
      <c r="O194" s="445"/>
      <c r="P194" s="445"/>
      <c r="Q194" s="445"/>
      <c r="R194" s="445"/>
      <c r="S194" s="445"/>
      <c r="T194" s="445"/>
      <c r="U194" s="445"/>
      <c r="V194" s="445"/>
    </row>
    <row r="195" spans="10:22" ht="11.4">
      <c r="J195" s="445"/>
      <c r="K195" s="445"/>
      <c r="L195" s="445"/>
      <c r="M195" s="445"/>
      <c r="N195" s="445"/>
      <c r="O195" s="445"/>
      <c r="P195" s="445"/>
      <c r="Q195" s="445"/>
      <c r="R195" s="445"/>
      <c r="S195" s="445"/>
      <c r="T195" s="445"/>
      <c r="U195" s="445"/>
      <c r="V195" s="445"/>
    </row>
    <row r="196" spans="10:22" ht="11.4">
      <c r="J196" s="445"/>
      <c r="K196" s="445"/>
      <c r="L196" s="445"/>
      <c r="M196" s="445"/>
      <c r="N196" s="445"/>
      <c r="O196" s="445"/>
      <c r="P196" s="445"/>
      <c r="Q196" s="445"/>
      <c r="R196" s="445"/>
      <c r="S196" s="445"/>
      <c r="T196" s="445"/>
      <c r="U196" s="445"/>
      <c r="V196" s="445"/>
    </row>
    <row r="197" spans="10:22" ht="11.4">
      <c r="J197" s="445"/>
      <c r="K197" s="445"/>
      <c r="L197" s="445"/>
      <c r="M197" s="445"/>
      <c r="N197" s="445"/>
      <c r="O197" s="445"/>
      <c r="P197" s="445"/>
      <c r="Q197" s="445"/>
      <c r="R197" s="445"/>
      <c r="S197" s="445"/>
      <c r="T197" s="445"/>
      <c r="U197" s="445"/>
      <c r="V197" s="445"/>
    </row>
    <row r="198" spans="10:22" ht="11.4">
      <c r="J198" s="445"/>
      <c r="K198" s="445"/>
      <c r="L198" s="445"/>
      <c r="M198" s="445"/>
      <c r="N198" s="445"/>
      <c r="O198" s="445"/>
      <c r="P198" s="445"/>
      <c r="Q198" s="445"/>
      <c r="R198" s="445"/>
      <c r="S198" s="445"/>
      <c r="T198" s="445"/>
      <c r="U198" s="445"/>
      <c r="V198" s="445"/>
    </row>
    <row r="199" spans="10:22" ht="11.4">
      <c r="J199" s="445"/>
      <c r="K199" s="445"/>
      <c r="L199" s="445"/>
      <c r="M199" s="445"/>
      <c r="N199" s="445"/>
      <c r="O199" s="445"/>
      <c r="P199" s="445"/>
      <c r="Q199" s="445"/>
      <c r="R199" s="445"/>
      <c r="S199" s="445"/>
      <c r="T199" s="445"/>
      <c r="U199" s="445"/>
      <c r="V199" s="445"/>
    </row>
    <row r="200" spans="10:22" ht="11.4">
      <c r="J200" s="445"/>
      <c r="K200" s="445"/>
      <c r="L200" s="445"/>
      <c r="M200" s="445"/>
      <c r="N200" s="445"/>
      <c r="O200" s="445"/>
      <c r="P200" s="445"/>
      <c r="Q200" s="445"/>
      <c r="R200" s="445"/>
      <c r="S200" s="445"/>
      <c r="T200" s="445"/>
      <c r="U200" s="445"/>
      <c r="V200" s="445"/>
    </row>
    <row r="201" spans="10:22" ht="11.4">
      <c r="J201" s="445"/>
      <c r="K201" s="445"/>
      <c r="L201" s="445"/>
      <c r="M201" s="445"/>
      <c r="N201" s="445"/>
      <c r="O201" s="445"/>
      <c r="P201" s="445"/>
      <c r="Q201" s="445"/>
      <c r="R201" s="445"/>
      <c r="S201" s="445"/>
      <c r="T201" s="445"/>
      <c r="U201" s="445"/>
      <c r="V201" s="445"/>
    </row>
    <row r="202" spans="10:22" ht="11.4">
      <c r="J202" s="445"/>
      <c r="K202" s="445"/>
      <c r="L202" s="445"/>
      <c r="M202" s="445"/>
      <c r="N202" s="445"/>
      <c r="O202" s="445"/>
      <c r="P202" s="445"/>
      <c r="Q202" s="445"/>
      <c r="R202" s="445"/>
      <c r="S202" s="445"/>
      <c r="T202" s="445"/>
      <c r="U202" s="445"/>
      <c r="V202" s="445"/>
    </row>
    <row r="203" spans="10:22" ht="11.4">
      <c r="J203" s="445"/>
      <c r="K203" s="445"/>
      <c r="L203" s="445"/>
      <c r="M203" s="445"/>
      <c r="N203" s="445"/>
      <c r="O203" s="445"/>
      <c r="P203" s="445"/>
      <c r="Q203" s="445"/>
      <c r="R203" s="445"/>
      <c r="S203" s="445"/>
      <c r="T203" s="445"/>
      <c r="U203" s="445"/>
      <c r="V203" s="445"/>
    </row>
    <row r="204" spans="10:22" ht="11.4">
      <c r="J204" s="445"/>
      <c r="K204" s="445"/>
      <c r="L204" s="445"/>
      <c r="M204" s="445"/>
      <c r="N204" s="445"/>
      <c r="O204" s="445"/>
      <c r="P204" s="445"/>
      <c r="Q204" s="445"/>
      <c r="R204" s="445"/>
      <c r="S204" s="445"/>
      <c r="T204" s="445"/>
      <c r="U204" s="445"/>
      <c r="V204" s="445"/>
    </row>
    <row r="205" spans="10:22" ht="11.4">
      <c r="J205" s="445"/>
      <c r="K205" s="445"/>
      <c r="L205" s="445"/>
      <c r="M205" s="445"/>
      <c r="N205" s="445"/>
      <c r="O205" s="445"/>
      <c r="P205" s="445"/>
      <c r="Q205" s="445"/>
      <c r="R205" s="445"/>
      <c r="S205" s="445"/>
      <c r="T205" s="445"/>
      <c r="U205" s="445"/>
      <c r="V205" s="445"/>
    </row>
    <row r="206" spans="10:22" ht="11.4">
      <c r="J206" s="445"/>
      <c r="K206" s="445"/>
      <c r="L206" s="445"/>
      <c r="M206" s="445"/>
      <c r="N206" s="445"/>
      <c r="O206" s="445"/>
      <c r="P206" s="445"/>
      <c r="Q206" s="445"/>
      <c r="R206" s="445"/>
      <c r="S206" s="445"/>
      <c r="T206" s="445"/>
      <c r="U206" s="445"/>
      <c r="V206" s="445"/>
    </row>
    <row r="207" spans="10:22" ht="11.4">
      <c r="J207" s="445"/>
      <c r="K207" s="445"/>
      <c r="L207" s="445"/>
      <c r="M207" s="445"/>
      <c r="N207" s="445"/>
      <c r="O207" s="445"/>
      <c r="P207" s="445"/>
      <c r="Q207" s="445"/>
      <c r="R207" s="445"/>
      <c r="S207" s="445"/>
      <c r="T207" s="445"/>
      <c r="U207" s="445"/>
      <c r="V207" s="445"/>
    </row>
    <row r="208" spans="10:22" ht="11.4">
      <c r="J208" s="445"/>
      <c r="K208" s="445"/>
      <c r="L208" s="445"/>
      <c r="M208" s="445"/>
      <c r="N208" s="445"/>
      <c r="O208" s="445"/>
      <c r="P208" s="445"/>
      <c r="Q208" s="445"/>
      <c r="R208" s="445"/>
      <c r="S208" s="445"/>
      <c r="T208" s="445"/>
      <c r="U208" s="445"/>
      <c r="V208" s="445"/>
    </row>
    <row r="209" spans="10:22" ht="11.4">
      <c r="J209" s="445"/>
      <c r="K209" s="445"/>
      <c r="L209" s="445"/>
      <c r="M209" s="445"/>
      <c r="N209" s="445"/>
      <c r="O209" s="445"/>
      <c r="P209" s="445"/>
      <c r="Q209" s="445"/>
      <c r="R209" s="445"/>
      <c r="S209" s="445"/>
      <c r="T209" s="445"/>
      <c r="U209" s="445"/>
      <c r="V209" s="445"/>
    </row>
    <row r="210" spans="10:22" ht="11.4">
      <c r="J210" s="445"/>
      <c r="K210" s="445"/>
      <c r="L210" s="445"/>
      <c r="M210" s="445"/>
      <c r="N210" s="445"/>
      <c r="O210" s="445"/>
      <c r="P210" s="445"/>
      <c r="Q210" s="445"/>
      <c r="R210" s="445"/>
      <c r="S210" s="445"/>
      <c r="T210" s="445"/>
      <c r="U210" s="445"/>
      <c r="V210" s="445"/>
    </row>
    <row r="211" spans="10:22" ht="11.4">
      <c r="J211" s="445"/>
      <c r="K211" s="445"/>
      <c r="L211" s="445"/>
      <c r="M211" s="445"/>
      <c r="N211" s="445"/>
      <c r="O211" s="445"/>
      <c r="P211" s="445"/>
      <c r="Q211" s="445"/>
      <c r="R211" s="445"/>
      <c r="S211" s="445"/>
      <c r="T211" s="445"/>
      <c r="U211" s="445"/>
      <c r="V211" s="445"/>
    </row>
    <row r="212" spans="10:22" ht="11.4">
      <c r="J212" s="445"/>
      <c r="K212" s="445"/>
      <c r="L212" s="445"/>
      <c r="M212" s="445"/>
      <c r="N212" s="445"/>
      <c r="O212" s="445"/>
      <c r="P212" s="445"/>
      <c r="Q212" s="445"/>
      <c r="R212" s="445"/>
      <c r="S212" s="445"/>
      <c r="T212" s="445"/>
      <c r="U212" s="445"/>
      <c r="V212" s="445"/>
    </row>
    <row r="213" spans="10:22" ht="11.4">
      <c r="J213" s="445"/>
      <c r="K213" s="445"/>
      <c r="L213" s="445"/>
      <c r="M213" s="445"/>
      <c r="N213" s="445"/>
      <c r="O213" s="445"/>
      <c r="P213" s="445"/>
      <c r="Q213" s="445"/>
      <c r="R213" s="445"/>
      <c r="S213" s="445"/>
      <c r="T213" s="445"/>
      <c r="U213" s="445"/>
      <c r="V213" s="445"/>
    </row>
    <row r="214" spans="10:22" ht="11.4">
      <c r="J214" s="445"/>
      <c r="K214" s="445"/>
      <c r="L214" s="445"/>
      <c r="M214" s="445"/>
      <c r="N214" s="445"/>
      <c r="O214" s="445"/>
      <c r="P214" s="445"/>
      <c r="Q214" s="445"/>
      <c r="R214" s="445"/>
      <c r="S214" s="445"/>
      <c r="T214" s="445"/>
      <c r="U214" s="445"/>
      <c r="V214" s="445"/>
    </row>
    <row r="215" spans="10:22" ht="11.4">
      <c r="J215" s="445"/>
      <c r="K215" s="445"/>
      <c r="L215" s="445"/>
      <c r="M215" s="445"/>
      <c r="N215" s="445"/>
      <c r="O215" s="445"/>
      <c r="P215" s="445"/>
      <c r="Q215" s="445"/>
      <c r="R215" s="445"/>
      <c r="S215" s="445"/>
      <c r="T215" s="445"/>
      <c r="U215" s="445"/>
      <c r="V215" s="445"/>
    </row>
    <row r="216" spans="10:22" ht="11.4">
      <c r="J216" s="445"/>
      <c r="K216" s="445"/>
      <c r="L216" s="445"/>
      <c r="M216" s="445"/>
      <c r="N216" s="445"/>
      <c r="O216" s="445"/>
      <c r="P216" s="445"/>
      <c r="Q216" s="445"/>
      <c r="R216" s="445"/>
      <c r="S216" s="445"/>
      <c r="T216" s="445"/>
      <c r="U216" s="445"/>
      <c r="V216" s="445"/>
    </row>
    <row r="217" spans="10:22" ht="11.4">
      <c r="J217" s="445"/>
      <c r="K217" s="445"/>
      <c r="L217" s="445"/>
      <c r="M217" s="445"/>
      <c r="N217" s="445"/>
      <c r="O217" s="445"/>
      <c r="P217" s="445"/>
      <c r="Q217" s="445"/>
      <c r="R217" s="445"/>
      <c r="S217" s="445"/>
      <c r="T217" s="445"/>
      <c r="U217" s="445"/>
      <c r="V217" s="445"/>
    </row>
    <row r="218" spans="10:22" ht="11.4">
      <c r="J218" s="445"/>
      <c r="K218" s="445"/>
      <c r="L218" s="445"/>
      <c r="M218" s="445"/>
      <c r="N218" s="445"/>
      <c r="O218" s="445"/>
      <c r="P218" s="445"/>
      <c r="Q218" s="445"/>
      <c r="R218" s="445"/>
      <c r="S218" s="445"/>
      <c r="T218" s="445"/>
      <c r="U218" s="445"/>
      <c r="V218" s="445"/>
    </row>
    <row r="219" spans="10:22" ht="11.4">
      <c r="J219" s="445"/>
      <c r="K219" s="445"/>
      <c r="L219" s="445"/>
      <c r="M219" s="445"/>
      <c r="N219" s="445"/>
      <c r="O219" s="445"/>
      <c r="P219" s="445"/>
      <c r="Q219" s="445"/>
      <c r="R219" s="445"/>
      <c r="S219" s="445"/>
      <c r="T219" s="445"/>
      <c r="U219" s="445"/>
      <c r="V219" s="445"/>
    </row>
    <row r="220" spans="10:22" ht="11.4">
      <c r="J220" s="445"/>
      <c r="K220" s="445"/>
      <c r="L220" s="445"/>
      <c r="M220" s="445"/>
      <c r="N220" s="445"/>
      <c r="O220" s="445"/>
      <c r="P220" s="445"/>
      <c r="Q220" s="445"/>
      <c r="R220" s="445"/>
      <c r="S220" s="445"/>
      <c r="T220" s="445"/>
      <c r="U220" s="445"/>
      <c r="V220" s="445"/>
    </row>
    <row r="221" spans="10:22" ht="11.4">
      <c r="J221" s="445"/>
      <c r="K221" s="445"/>
      <c r="L221" s="445"/>
      <c r="M221" s="445"/>
      <c r="N221" s="445"/>
      <c r="O221" s="445"/>
      <c r="P221" s="445"/>
      <c r="Q221" s="445"/>
      <c r="R221" s="445"/>
      <c r="S221" s="445"/>
      <c r="T221" s="445"/>
      <c r="U221" s="445"/>
      <c r="V221" s="445"/>
    </row>
    <row r="222" spans="10:22" ht="11.4">
      <c r="J222" s="445"/>
      <c r="K222" s="445"/>
      <c r="L222" s="445"/>
      <c r="M222" s="445"/>
      <c r="N222" s="445"/>
      <c r="O222" s="445"/>
      <c r="P222" s="445"/>
      <c r="Q222" s="445"/>
      <c r="R222" s="445"/>
      <c r="S222" s="445"/>
      <c r="T222" s="445"/>
      <c r="U222" s="445"/>
      <c r="V222" s="445"/>
    </row>
    <row r="223" spans="10:22" ht="11.4">
      <c r="J223" s="445"/>
      <c r="K223" s="445"/>
      <c r="L223" s="445"/>
      <c r="M223" s="445"/>
      <c r="N223" s="445"/>
      <c r="O223" s="445"/>
      <c r="P223" s="445"/>
      <c r="Q223" s="445"/>
      <c r="R223" s="445"/>
      <c r="S223" s="445"/>
      <c r="T223" s="445"/>
      <c r="U223" s="445"/>
      <c r="V223" s="445"/>
    </row>
    <row r="224" spans="10:22" ht="11.4">
      <c r="J224" s="445"/>
      <c r="K224" s="445"/>
      <c r="L224" s="445"/>
      <c r="M224" s="445"/>
      <c r="N224" s="445"/>
      <c r="O224" s="445"/>
      <c r="P224" s="445"/>
      <c r="Q224" s="445"/>
      <c r="R224" s="445"/>
      <c r="S224" s="445"/>
      <c r="T224" s="445"/>
      <c r="U224" s="445"/>
      <c r="V224" s="445"/>
    </row>
    <row r="225" spans="10:22" ht="11.4">
      <c r="J225" s="445"/>
      <c r="K225" s="445"/>
      <c r="L225" s="445"/>
      <c r="M225" s="445"/>
      <c r="N225" s="445"/>
      <c r="O225" s="445"/>
      <c r="P225" s="445"/>
      <c r="Q225" s="445"/>
      <c r="R225" s="445"/>
      <c r="S225" s="445"/>
      <c r="T225" s="445"/>
      <c r="U225" s="445"/>
      <c r="V225" s="445"/>
    </row>
    <row r="226" spans="10:22" ht="11.4">
      <c r="J226" s="445"/>
      <c r="K226" s="445"/>
      <c r="L226" s="445"/>
      <c r="M226" s="445"/>
      <c r="N226" s="445"/>
      <c r="O226" s="445"/>
      <c r="P226" s="445"/>
      <c r="Q226" s="445"/>
      <c r="R226" s="445"/>
      <c r="S226" s="445"/>
      <c r="T226" s="445"/>
      <c r="U226" s="445"/>
      <c r="V226" s="445"/>
    </row>
    <row r="227" spans="10:22" ht="11.4">
      <c r="J227" s="445"/>
      <c r="K227" s="445"/>
      <c r="L227" s="445"/>
      <c r="M227" s="445"/>
      <c r="N227" s="445"/>
      <c r="O227" s="445"/>
      <c r="P227" s="445"/>
      <c r="Q227" s="445"/>
      <c r="R227" s="445"/>
      <c r="S227" s="445"/>
      <c r="T227" s="445"/>
      <c r="U227" s="445"/>
      <c r="V227" s="445"/>
    </row>
    <row r="228" spans="10:22" ht="11.4">
      <c r="J228" s="445"/>
      <c r="K228" s="445"/>
      <c r="L228" s="445"/>
      <c r="M228" s="445"/>
      <c r="N228" s="445"/>
      <c r="O228" s="445"/>
      <c r="P228" s="445"/>
      <c r="Q228" s="445"/>
      <c r="R228" s="445"/>
      <c r="S228" s="445"/>
      <c r="T228" s="445"/>
      <c r="U228" s="445"/>
      <c r="V228" s="445"/>
    </row>
    <row r="229" spans="10:22" ht="11.4">
      <c r="J229" s="445"/>
      <c r="K229" s="445"/>
      <c r="L229" s="445"/>
      <c r="M229" s="445"/>
      <c r="N229" s="445"/>
      <c r="O229" s="445"/>
      <c r="P229" s="445"/>
      <c r="Q229" s="445"/>
      <c r="R229" s="445"/>
      <c r="S229" s="445"/>
      <c r="T229" s="445"/>
      <c r="U229" s="445"/>
      <c r="V229" s="445"/>
    </row>
    <row r="230" spans="10:22" ht="11.4">
      <c r="J230" s="445"/>
      <c r="K230" s="445"/>
      <c r="L230" s="445"/>
      <c r="M230" s="445"/>
      <c r="N230" s="445"/>
      <c r="O230" s="445"/>
      <c r="P230" s="445"/>
      <c r="Q230" s="445"/>
      <c r="R230" s="445"/>
      <c r="S230" s="445"/>
      <c r="T230" s="445"/>
      <c r="U230" s="445"/>
      <c r="V230" s="445"/>
    </row>
    <row r="231" spans="10:22" ht="11.4">
      <c r="J231" s="445"/>
      <c r="K231" s="445"/>
      <c r="L231" s="445"/>
      <c r="M231" s="445"/>
      <c r="N231" s="445"/>
      <c r="O231" s="445"/>
      <c r="P231" s="445"/>
      <c r="Q231" s="445"/>
      <c r="R231" s="445"/>
      <c r="S231" s="445"/>
      <c r="T231" s="445"/>
      <c r="U231" s="445"/>
      <c r="V231" s="445"/>
    </row>
    <row r="232" spans="10:22" ht="11.4">
      <c r="J232" s="445"/>
      <c r="K232" s="445"/>
      <c r="L232" s="445"/>
      <c r="M232" s="445"/>
      <c r="N232" s="445"/>
      <c r="O232" s="445"/>
      <c r="P232" s="445"/>
      <c r="Q232" s="445"/>
      <c r="R232" s="445"/>
      <c r="S232" s="445"/>
      <c r="T232" s="445"/>
      <c r="U232" s="445"/>
      <c r="V232" s="445"/>
    </row>
    <row r="233" spans="10:22" ht="11.4">
      <c r="J233" s="445"/>
      <c r="K233" s="445"/>
      <c r="L233" s="445"/>
      <c r="M233" s="445"/>
      <c r="N233" s="445"/>
      <c r="O233" s="445"/>
      <c r="P233" s="445"/>
      <c r="Q233" s="445"/>
      <c r="R233" s="445"/>
      <c r="S233" s="445"/>
      <c r="T233" s="445"/>
      <c r="U233" s="445"/>
      <c r="V233" s="445"/>
    </row>
    <row r="234" spans="10:22" ht="11.4">
      <c r="J234" s="445"/>
      <c r="K234" s="445"/>
      <c r="L234" s="445"/>
      <c r="M234" s="445"/>
      <c r="N234" s="445"/>
      <c r="O234" s="445"/>
      <c r="P234" s="445"/>
      <c r="Q234" s="445"/>
      <c r="R234" s="445"/>
      <c r="S234" s="445"/>
      <c r="T234" s="445"/>
      <c r="U234" s="445"/>
      <c r="V234" s="445"/>
    </row>
    <row r="235" spans="10:22" ht="11.4">
      <c r="J235" s="445"/>
      <c r="K235" s="445"/>
      <c r="L235" s="445"/>
      <c r="M235" s="445"/>
      <c r="N235" s="445"/>
      <c r="O235" s="445"/>
      <c r="P235" s="445"/>
      <c r="Q235" s="445"/>
      <c r="R235" s="445"/>
      <c r="S235" s="445"/>
      <c r="T235" s="445"/>
      <c r="U235" s="445"/>
      <c r="V235" s="445"/>
    </row>
    <row r="236" spans="10:22" ht="11.4">
      <c r="J236" s="445"/>
      <c r="K236" s="445"/>
      <c r="L236" s="445"/>
      <c r="M236" s="445"/>
      <c r="N236" s="445"/>
      <c r="O236" s="445"/>
      <c r="P236" s="445"/>
      <c r="Q236" s="445"/>
      <c r="R236" s="445"/>
      <c r="S236" s="445"/>
      <c r="T236" s="445"/>
      <c r="U236" s="445"/>
      <c r="V236" s="445"/>
    </row>
    <row r="237" spans="10:22" ht="11.4">
      <c r="J237" s="445"/>
      <c r="K237" s="445"/>
      <c r="L237" s="445"/>
      <c r="M237" s="445"/>
      <c r="N237" s="445"/>
      <c r="O237" s="445"/>
      <c r="P237" s="445"/>
      <c r="Q237" s="445"/>
      <c r="R237" s="445"/>
      <c r="S237" s="445"/>
      <c r="T237" s="445"/>
      <c r="U237" s="445"/>
      <c r="V237" s="445"/>
    </row>
    <row r="238" spans="10:22" ht="11.4">
      <c r="J238" s="445"/>
      <c r="K238" s="445"/>
      <c r="L238" s="445"/>
      <c r="M238" s="445"/>
      <c r="N238" s="445"/>
      <c r="O238" s="445"/>
      <c r="P238" s="445"/>
      <c r="Q238" s="445"/>
      <c r="R238" s="445"/>
      <c r="S238" s="445"/>
      <c r="T238" s="445"/>
      <c r="U238" s="445"/>
      <c r="V238" s="445"/>
    </row>
    <row r="239" spans="10:22" ht="11.4">
      <c r="J239" s="445"/>
      <c r="K239" s="445"/>
      <c r="L239" s="445"/>
      <c r="M239" s="445"/>
      <c r="N239" s="445"/>
      <c r="O239" s="445"/>
      <c r="P239" s="445"/>
      <c r="Q239" s="445"/>
      <c r="R239" s="445"/>
      <c r="S239" s="445"/>
      <c r="T239" s="445"/>
      <c r="U239" s="445"/>
      <c r="V239" s="445"/>
    </row>
    <row r="240" spans="10:22" ht="11.4">
      <c r="J240" s="445"/>
      <c r="K240" s="445"/>
      <c r="L240" s="445"/>
      <c r="M240" s="445"/>
      <c r="N240" s="445"/>
      <c r="O240" s="445"/>
      <c r="P240" s="445"/>
      <c r="Q240" s="445"/>
      <c r="R240" s="445"/>
      <c r="S240" s="445"/>
      <c r="T240" s="445"/>
      <c r="U240" s="445"/>
      <c r="V240" s="445"/>
    </row>
    <row r="241" spans="10:22" ht="11.4">
      <c r="J241" s="445"/>
      <c r="K241" s="445"/>
      <c r="L241" s="445"/>
      <c r="M241" s="445"/>
      <c r="N241" s="445"/>
      <c r="O241" s="445"/>
      <c r="P241" s="445"/>
      <c r="Q241" s="445"/>
      <c r="R241" s="445"/>
      <c r="S241" s="445"/>
      <c r="T241" s="445"/>
      <c r="U241" s="445"/>
      <c r="V241" s="445"/>
    </row>
    <row r="242" spans="10:22" ht="11.4">
      <c r="J242" s="445"/>
      <c r="K242" s="445"/>
      <c r="L242" s="445"/>
      <c r="M242" s="445"/>
      <c r="N242" s="445"/>
      <c r="O242" s="445"/>
      <c r="P242" s="445"/>
      <c r="Q242" s="445"/>
      <c r="R242" s="445"/>
      <c r="S242" s="445"/>
      <c r="T242" s="445"/>
      <c r="U242" s="445"/>
      <c r="V242" s="445"/>
    </row>
    <row r="243" spans="10:22" ht="11.4">
      <c r="J243" s="445"/>
      <c r="K243" s="445"/>
      <c r="L243" s="445"/>
      <c r="M243" s="445"/>
      <c r="N243" s="445"/>
      <c r="O243" s="445"/>
      <c r="P243" s="445"/>
      <c r="Q243" s="445"/>
      <c r="R243" s="445"/>
      <c r="S243" s="445"/>
      <c r="T243" s="445"/>
      <c r="U243" s="445"/>
      <c r="V243" s="445"/>
    </row>
    <row r="244" spans="10:22" ht="11.4">
      <c r="J244" s="445"/>
      <c r="K244" s="445"/>
      <c r="L244" s="445"/>
      <c r="M244" s="445"/>
      <c r="N244" s="445"/>
      <c r="O244" s="445"/>
      <c r="P244" s="445"/>
      <c r="Q244" s="445"/>
      <c r="R244" s="445"/>
      <c r="S244" s="445"/>
      <c r="T244" s="445"/>
      <c r="U244" s="445"/>
      <c r="V244" s="445"/>
    </row>
    <row r="245" spans="10:22" ht="11.4">
      <c r="J245" s="445"/>
      <c r="K245" s="445"/>
      <c r="L245" s="445"/>
      <c r="M245" s="445"/>
      <c r="N245" s="445"/>
      <c r="O245" s="445"/>
      <c r="P245" s="445"/>
      <c r="Q245" s="445"/>
      <c r="R245" s="445"/>
      <c r="S245" s="445"/>
      <c r="T245" s="445"/>
      <c r="U245" s="445"/>
      <c r="V245" s="445"/>
    </row>
    <row r="246" spans="10:22" ht="11.4">
      <c r="J246" s="445"/>
      <c r="K246" s="445"/>
      <c r="L246" s="445"/>
      <c r="M246" s="445"/>
      <c r="N246" s="445"/>
      <c r="O246" s="445"/>
      <c r="P246" s="445"/>
      <c r="Q246" s="445"/>
      <c r="R246" s="445"/>
      <c r="S246" s="445"/>
      <c r="T246" s="445"/>
      <c r="U246" s="445"/>
      <c r="V246" s="445"/>
    </row>
    <row r="247" spans="10:22" ht="11.4">
      <c r="J247" s="445"/>
      <c r="K247" s="445"/>
      <c r="L247" s="445"/>
      <c r="M247" s="445"/>
      <c r="N247" s="445"/>
      <c r="O247" s="445"/>
      <c r="P247" s="445"/>
      <c r="Q247" s="445"/>
      <c r="R247" s="445"/>
      <c r="S247" s="445"/>
      <c r="T247" s="445"/>
      <c r="U247" s="445"/>
      <c r="V247" s="445"/>
    </row>
    <row r="248" spans="10:22" ht="11.4">
      <c r="J248" s="445"/>
      <c r="K248" s="445"/>
      <c r="L248" s="445"/>
      <c r="M248" s="445"/>
      <c r="N248" s="445"/>
      <c r="O248" s="445"/>
      <c r="P248" s="445"/>
      <c r="Q248" s="445"/>
      <c r="R248" s="445"/>
      <c r="S248" s="445"/>
      <c r="T248" s="445"/>
      <c r="U248" s="445"/>
      <c r="V248" s="445"/>
    </row>
    <row r="249" spans="10:22" ht="11.4">
      <c r="J249" s="445"/>
      <c r="K249" s="445"/>
      <c r="L249" s="445"/>
      <c r="M249" s="445"/>
      <c r="N249" s="445"/>
      <c r="O249" s="445"/>
      <c r="P249" s="445"/>
      <c r="Q249" s="445"/>
      <c r="R249" s="445"/>
      <c r="S249" s="445"/>
      <c r="T249" s="445"/>
      <c r="U249" s="445"/>
      <c r="V249" s="445"/>
    </row>
    <row r="250" spans="10:22" ht="11.4">
      <c r="J250" s="445"/>
      <c r="K250" s="445"/>
      <c r="L250" s="445"/>
      <c r="M250" s="445"/>
      <c r="N250" s="445"/>
      <c r="O250" s="445"/>
      <c r="P250" s="445"/>
      <c r="Q250" s="445"/>
      <c r="R250" s="445"/>
      <c r="S250" s="445"/>
      <c r="T250" s="445"/>
      <c r="U250" s="445"/>
      <c r="V250" s="445"/>
    </row>
    <row r="251" spans="10:22" ht="11.4">
      <c r="J251" s="445"/>
      <c r="K251" s="445"/>
      <c r="L251" s="445"/>
      <c r="M251" s="445"/>
      <c r="N251" s="445"/>
      <c r="O251" s="445"/>
      <c r="P251" s="445"/>
      <c r="Q251" s="445"/>
      <c r="R251" s="445"/>
      <c r="S251" s="445"/>
      <c r="T251" s="445"/>
      <c r="U251" s="445"/>
      <c r="V251" s="445"/>
    </row>
    <row r="252" spans="10:22" ht="11.4">
      <c r="J252" s="445"/>
      <c r="K252" s="445"/>
      <c r="L252" s="445"/>
      <c r="M252" s="445"/>
      <c r="N252" s="445"/>
      <c r="O252" s="445"/>
      <c r="P252" s="445"/>
      <c r="Q252" s="445"/>
      <c r="R252" s="445"/>
      <c r="S252" s="445"/>
      <c r="T252" s="445"/>
      <c r="U252" s="445"/>
      <c r="V252" s="445"/>
    </row>
    <row r="253" spans="10:22" ht="11.4">
      <c r="J253" s="445"/>
      <c r="K253" s="445"/>
      <c r="L253" s="445"/>
      <c r="M253" s="445"/>
      <c r="N253" s="445"/>
      <c r="O253" s="445"/>
      <c r="P253" s="445"/>
      <c r="Q253" s="445"/>
      <c r="R253" s="445"/>
      <c r="S253" s="445"/>
      <c r="T253" s="445"/>
      <c r="U253" s="445"/>
      <c r="V253" s="445"/>
    </row>
    <row r="254" spans="10:22" ht="11.4">
      <c r="J254" s="445"/>
      <c r="K254" s="445"/>
      <c r="L254" s="445"/>
      <c r="M254" s="445"/>
      <c r="N254" s="445"/>
      <c r="O254" s="445"/>
      <c r="P254" s="445"/>
      <c r="Q254" s="445"/>
      <c r="R254" s="445"/>
      <c r="S254" s="445"/>
      <c r="T254" s="445"/>
      <c r="U254" s="445"/>
      <c r="V254" s="445"/>
    </row>
    <row r="255" spans="10:22" ht="11.4">
      <c r="J255" s="445"/>
      <c r="K255" s="445"/>
      <c r="L255" s="445"/>
      <c r="M255" s="445"/>
      <c r="N255" s="445"/>
      <c r="O255" s="445"/>
      <c r="P255" s="445"/>
      <c r="Q255" s="445"/>
      <c r="R255" s="445"/>
      <c r="S255" s="445"/>
      <c r="T255" s="445"/>
      <c r="U255" s="445"/>
      <c r="V255" s="445"/>
    </row>
    <row r="256" spans="10:22" ht="11.4">
      <c r="J256" s="445"/>
      <c r="K256" s="445"/>
      <c r="L256" s="445"/>
      <c r="M256" s="445"/>
      <c r="N256" s="445"/>
      <c r="O256" s="445"/>
      <c r="P256" s="445"/>
      <c r="Q256" s="445"/>
      <c r="R256" s="445"/>
      <c r="S256" s="445"/>
      <c r="T256" s="445"/>
      <c r="U256" s="445"/>
      <c r="V256" s="445"/>
    </row>
    <row r="257" spans="10:22" ht="11.4">
      <c r="J257" s="445"/>
      <c r="K257" s="445"/>
      <c r="L257" s="445"/>
      <c r="M257" s="445"/>
      <c r="N257" s="445"/>
      <c r="O257" s="445"/>
      <c r="P257" s="445"/>
      <c r="Q257" s="445"/>
      <c r="R257" s="445"/>
      <c r="S257" s="445"/>
      <c r="T257" s="445"/>
      <c r="U257" s="445"/>
      <c r="V257" s="445"/>
    </row>
    <row r="258" spans="10:22" ht="11.4">
      <c r="J258" s="445"/>
      <c r="K258" s="445"/>
      <c r="L258" s="445"/>
      <c r="M258" s="445"/>
      <c r="N258" s="445"/>
      <c r="O258" s="445"/>
      <c r="P258" s="445"/>
      <c r="Q258" s="445"/>
      <c r="R258" s="445"/>
      <c r="S258" s="445"/>
      <c r="T258" s="445"/>
      <c r="U258" s="445"/>
      <c r="V258" s="445"/>
    </row>
    <row r="259" spans="10:22" ht="11.4">
      <c r="J259" s="445"/>
      <c r="K259" s="445"/>
      <c r="L259" s="445"/>
      <c r="M259" s="445"/>
      <c r="N259" s="445"/>
      <c r="O259" s="445"/>
      <c r="P259" s="445"/>
      <c r="Q259" s="445"/>
      <c r="R259" s="445"/>
      <c r="S259" s="445"/>
      <c r="T259" s="445"/>
      <c r="U259" s="445"/>
      <c r="V259" s="445"/>
    </row>
    <row r="260" spans="10:22" ht="11.4">
      <c r="J260" s="445"/>
      <c r="K260" s="445"/>
      <c r="L260" s="445"/>
      <c r="M260" s="445"/>
      <c r="N260" s="445"/>
      <c r="O260" s="445"/>
      <c r="P260" s="445"/>
      <c r="Q260" s="445"/>
      <c r="R260" s="445"/>
      <c r="S260" s="445"/>
      <c r="T260" s="445"/>
      <c r="U260" s="445"/>
      <c r="V260" s="445"/>
    </row>
    <row r="261" spans="10:22" ht="11.4">
      <c r="J261" s="445"/>
      <c r="K261" s="445"/>
      <c r="L261" s="445"/>
      <c r="M261" s="445"/>
      <c r="N261" s="445"/>
      <c r="O261" s="445"/>
      <c r="P261" s="445"/>
      <c r="Q261" s="445"/>
      <c r="R261" s="445"/>
      <c r="S261" s="445"/>
      <c r="T261" s="445"/>
      <c r="U261" s="445"/>
      <c r="V261" s="445"/>
    </row>
    <row r="262" spans="10:22" ht="11.4">
      <c r="J262" s="445"/>
      <c r="K262" s="445"/>
      <c r="L262" s="445"/>
      <c r="M262" s="445"/>
      <c r="N262" s="445"/>
      <c r="O262" s="445"/>
      <c r="P262" s="445"/>
      <c r="Q262" s="445"/>
      <c r="R262" s="445"/>
      <c r="S262" s="445"/>
      <c r="T262" s="445"/>
      <c r="U262" s="445"/>
      <c r="V262" s="445"/>
    </row>
    <row r="263" spans="10:22" ht="11.4">
      <c r="J263" s="445"/>
      <c r="K263" s="445"/>
      <c r="L263" s="445"/>
      <c r="M263" s="445"/>
      <c r="N263" s="445"/>
      <c r="O263" s="445"/>
      <c r="P263" s="445"/>
      <c r="Q263" s="445"/>
      <c r="R263" s="445"/>
      <c r="S263" s="445"/>
      <c r="T263" s="445"/>
      <c r="U263" s="445"/>
      <c r="V263" s="445"/>
    </row>
    <row r="264" spans="10:22" ht="11.4">
      <c r="J264" s="445"/>
      <c r="K264" s="445"/>
      <c r="L264" s="445"/>
      <c r="M264" s="445"/>
      <c r="N264" s="445"/>
      <c r="O264" s="445"/>
      <c r="P264" s="445"/>
      <c r="Q264" s="445"/>
      <c r="R264" s="445"/>
      <c r="S264" s="445"/>
      <c r="T264" s="445"/>
      <c r="U264" s="445"/>
      <c r="V264" s="445"/>
    </row>
    <row r="265" spans="10:22" ht="11.4">
      <c r="J265" s="445"/>
      <c r="K265" s="445"/>
      <c r="L265" s="445"/>
      <c r="M265" s="445"/>
      <c r="N265" s="445"/>
      <c r="O265" s="445"/>
      <c r="P265" s="445"/>
      <c r="Q265" s="445"/>
      <c r="R265" s="445"/>
      <c r="S265" s="445"/>
      <c r="T265" s="445"/>
      <c r="U265" s="445"/>
      <c r="V265" s="445"/>
    </row>
    <row r="266" spans="10:22" ht="11.4">
      <c r="J266" s="445"/>
      <c r="K266" s="445"/>
      <c r="L266" s="445"/>
      <c r="M266" s="445"/>
      <c r="N266" s="445"/>
      <c r="O266" s="445"/>
      <c r="P266" s="445"/>
      <c r="Q266" s="445"/>
      <c r="R266" s="445"/>
      <c r="S266" s="445"/>
      <c r="T266" s="445"/>
      <c r="U266" s="445"/>
      <c r="V266" s="445"/>
    </row>
    <row r="267" spans="10:22" ht="11.4">
      <c r="J267" s="445"/>
      <c r="K267" s="445"/>
      <c r="L267" s="445"/>
      <c r="M267" s="445"/>
      <c r="N267" s="445"/>
      <c r="O267" s="445"/>
      <c r="P267" s="445"/>
      <c r="Q267" s="445"/>
      <c r="R267" s="445"/>
      <c r="S267" s="445"/>
      <c r="T267" s="445"/>
      <c r="U267" s="445"/>
      <c r="V267" s="445"/>
    </row>
    <row r="268" spans="10:22" ht="11.4">
      <c r="J268" s="445"/>
      <c r="K268" s="445"/>
      <c r="L268" s="445"/>
      <c r="M268" s="445"/>
      <c r="N268" s="445"/>
      <c r="O268" s="445"/>
      <c r="P268" s="445"/>
      <c r="Q268" s="445"/>
      <c r="R268" s="445"/>
      <c r="S268" s="445"/>
      <c r="T268" s="445"/>
      <c r="U268" s="445"/>
      <c r="V268" s="445"/>
    </row>
    <row r="269" spans="10:22" ht="11.4">
      <c r="J269" s="445"/>
      <c r="K269" s="445"/>
      <c r="L269" s="445"/>
      <c r="M269" s="445"/>
      <c r="N269" s="445"/>
      <c r="O269" s="445"/>
      <c r="P269" s="445"/>
      <c r="Q269" s="445"/>
      <c r="R269" s="445"/>
      <c r="S269" s="445"/>
      <c r="T269" s="445"/>
      <c r="U269" s="445"/>
      <c r="V269" s="445"/>
    </row>
    <row r="270" spans="10:22" ht="11.4">
      <c r="J270" s="445"/>
      <c r="K270" s="445"/>
      <c r="L270" s="445"/>
      <c r="M270" s="445"/>
      <c r="N270" s="445"/>
      <c r="O270" s="445"/>
      <c r="P270" s="445"/>
      <c r="Q270" s="445"/>
      <c r="R270" s="445"/>
      <c r="S270" s="445"/>
      <c r="T270" s="445"/>
      <c r="U270" s="445"/>
      <c r="V270" s="445"/>
    </row>
    <row r="271" spans="10:22" ht="11.4">
      <c r="J271" s="445"/>
      <c r="K271" s="445"/>
      <c r="L271" s="445"/>
      <c r="M271" s="445"/>
      <c r="N271" s="445"/>
      <c r="O271" s="445"/>
      <c r="P271" s="445"/>
      <c r="Q271" s="445"/>
      <c r="R271" s="445"/>
      <c r="S271" s="445"/>
      <c r="T271" s="445"/>
      <c r="U271" s="445"/>
      <c r="V271" s="445"/>
    </row>
  </sheetData>
  <sheetProtection sheet="1" formatCells="0" formatColumns="0" formatRows="0"/>
  <mergeCells count="58">
    <mergeCell ref="G3:I3"/>
    <mergeCell ref="B3:D3"/>
    <mergeCell ref="D4:I4"/>
    <mergeCell ref="E6:G6"/>
    <mergeCell ref="F5:H5"/>
    <mergeCell ref="I5:I7"/>
    <mergeCell ref="B5:C5"/>
    <mergeCell ref="K5:K7"/>
    <mergeCell ref="C32:C33"/>
    <mergeCell ref="E32:E33"/>
    <mergeCell ref="A27:I27"/>
    <mergeCell ref="C20:C21"/>
    <mergeCell ref="D5:E5"/>
    <mergeCell ref="A17:B19"/>
    <mergeCell ref="D17:D19"/>
    <mergeCell ref="A22:B22"/>
    <mergeCell ref="A23:B23"/>
    <mergeCell ref="A24:B24"/>
    <mergeCell ref="A11:A12"/>
    <mergeCell ref="A14:B16"/>
    <mergeCell ref="D14:D16"/>
    <mergeCell ref="I47:I48"/>
    <mergeCell ref="C47:C48"/>
    <mergeCell ref="C17:C19"/>
    <mergeCell ref="G32:G33"/>
    <mergeCell ref="E7:G7"/>
    <mergeCell ref="H32:H33"/>
    <mergeCell ref="C14:C16"/>
    <mergeCell ref="F34:F35"/>
    <mergeCell ref="E45:E46"/>
    <mergeCell ref="F45:F46"/>
    <mergeCell ref="E15:I24"/>
    <mergeCell ref="D34:D35"/>
    <mergeCell ref="I34:I35"/>
    <mergeCell ref="E34:E35"/>
    <mergeCell ref="G34:G35"/>
    <mergeCell ref="H34:H35"/>
    <mergeCell ref="G47:G48"/>
    <mergeCell ref="F47:F48"/>
    <mergeCell ref="C34:C35"/>
    <mergeCell ref="D32:D33"/>
    <mergeCell ref="E47:E48"/>
    <mergeCell ref="I58:I59"/>
    <mergeCell ref="I32:I33"/>
    <mergeCell ref="C58:C59"/>
    <mergeCell ref="D58:D59"/>
    <mergeCell ref="E58:E59"/>
    <mergeCell ref="I45:I46"/>
    <mergeCell ref="D45:D46"/>
    <mergeCell ref="G45:G46"/>
    <mergeCell ref="C45:C46"/>
    <mergeCell ref="F32:F33"/>
    <mergeCell ref="H58:H59"/>
    <mergeCell ref="D47:D48"/>
    <mergeCell ref="H45:H46"/>
    <mergeCell ref="H47:H48"/>
    <mergeCell ref="F58:F59"/>
    <mergeCell ref="G58:G59"/>
  </mergeCells>
  <dataValidations count="1">
    <dataValidation type="decimal" operator="greaterThanOrEqual" allowBlank="1" showInputMessage="1" showErrorMessage="1" errorTitle="Error" error="Value must be a number." sqref="B12:D12">
      <formula1>0</formula1>
    </dataValidation>
  </dataValidations>
  <hyperlinks>
    <hyperlink ref="A9" location="Summ_Page1_StudentCount" display="1.  Student Count"/>
  </hyperlinks>
  <printOptions horizontalCentered="1"/>
  <pageMargins left="0.25" right="0.25" top="0.25" bottom="0.25" header="0" footer="0.25"/>
  <pageSetup scale="95" orientation="portrait" r:id="rId1"/>
  <headerFooter>
    <oddFooter>&amp;L&amp;"Times New Roman,Bold"&amp;9Rev. 5/23 Arizona Department of Education and Auditor General&amp;C&amp;"Times New Roman,Regular"&amp;9                    &amp;D  &amp;T&amp;R&amp;"Times New Roman,Bold"&amp;9Page 1 of 2</oddFooter>
  </headerFooter>
  <drawing r:id="rId2"/>
</worksheet>
</file>

<file path=xl/worksheets/sheet13.xml><?xml version="1.0" encoding="utf-8"?>
<worksheet xmlns="http://schemas.openxmlformats.org/spreadsheetml/2006/main" xmlns:r="http://schemas.openxmlformats.org/officeDocument/2006/relationships">
  <dimension ref="A1:U55"/>
  <sheetViews>
    <sheetView showGridLines="0" topLeftCell="A19" workbookViewId="0">
      <selection activeCell="E38" sqref="E38"/>
    </sheetView>
  </sheetViews>
  <sheetFormatPr defaultColWidth="5.90625" defaultRowHeight="10.199999999999999"/>
  <cols>
    <col min="1" max="1" width="1.90625" style="887" customWidth="1"/>
    <col min="2" max="2" width="14.08984375" style="887" customWidth="1"/>
    <col min="3" max="3" width="10.54296875" style="887" customWidth="1"/>
    <col min="4" max="4" width="10.90625" style="887" customWidth="1"/>
    <col min="5" max="5" width="13" style="887" customWidth="1"/>
    <col min="6" max="6" width="13.08984375" style="887" customWidth="1"/>
    <col min="7" max="7" width="6" style="887" customWidth="1"/>
    <col min="8" max="8" width="5.08984375" style="887" customWidth="1"/>
    <col min="9" max="9" width="4.90625" style="887" customWidth="1"/>
    <col min="10" max="10" width="4" style="887" customWidth="1"/>
    <col min="11" max="11" width="5.90625" style="887" customWidth="1"/>
    <col min="12" max="12" width="25.54296875" style="887" customWidth="1"/>
    <col min="13" max="13" width="8" style="887" customWidth="1"/>
    <col min="14" max="14" width="8.453125" style="887" customWidth="1"/>
    <col min="15" max="16" width="5.90625" style="887" customWidth="1"/>
    <col min="17" max="16384" width="5.90625" style="887"/>
  </cols>
  <sheetData>
    <row r="1" spans="1:21" ht="12.75" customHeight="1">
      <c r="A1" s="1704" t="str">
        <f>IF(OR(Version="Proposed",Version=""),"SUMMARY OF SCHOOL DISTRICT PROPOSED EXPENDITURE BUDGET (Concl'd)",IF(Version="Adopted","SUMMARY OF SCHOOL DISTRICT ADOPTED EXPENDITURE BUDGET (Concl'd)","SUMMARY OF SCHOOL DISTRICT REVISED EXPENDITURE BUDGET (Concl'd)"))</f>
        <v>SUMMARY OF SCHOOL DISTRICT PROPOSED EXPENDITURE BUDGET (Concl'd)</v>
      </c>
      <c r="B1" s="1704"/>
      <c r="C1" s="1704"/>
      <c r="D1" s="1704"/>
      <c r="E1" s="1704"/>
      <c r="F1" s="1704"/>
      <c r="G1" s="885"/>
      <c r="H1" s="886" t="s">
        <v>439</v>
      </c>
      <c r="I1" s="1702" t="str">
        <f>Cover!S1</f>
        <v>020522000</v>
      </c>
      <c r="J1" s="1703"/>
      <c r="K1" s="795"/>
      <c r="L1" s="1700" t="s">
        <v>586</v>
      </c>
      <c r="M1" s="1700"/>
      <c r="N1" s="1700"/>
      <c r="O1" s="795"/>
      <c r="P1" s="795"/>
      <c r="Q1" s="795"/>
      <c r="R1" s="795"/>
      <c r="S1" s="795"/>
      <c r="T1" s="795"/>
      <c r="U1" s="795"/>
    </row>
    <row r="2" spans="1:21" ht="12" customHeight="1">
      <c r="A2" s="1710" t="s">
        <v>587</v>
      </c>
      <c r="B2" s="1711"/>
      <c r="C2" s="1711"/>
      <c r="D2" s="1711"/>
      <c r="E2" s="1711"/>
      <c r="F2" s="1711"/>
      <c r="G2" s="885"/>
      <c r="H2" s="888" t="s">
        <v>74</v>
      </c>
      <c r="I2" s="1705" t="str">
        <f>Cover!C8</f>
        <v>Proposed</v>
      </c>
      <c r="J2" s="1706"/>
      <c r="K2" s="883"/>
      <c r="L2" s="1700"/>
      <c r="M2" s="1700"/>
      <c r="N2" s="1700"/>
      <c r="O2" s="795"/>
      <c r="P2" s="795"/>
      <c r="Q2" s="795"/>
      <c r="R2" s="795"/>
      <c r="S2" s="795"/>
      <c r="T2" s="795"/>
      <c r="U2" s="795"/>
    </row>
    <row r="3" spans="1:21" ht="9.75" customHeight="1">
      <c r="A3" s="849"/>
      <c r="B3" s="889"/>
      <c r="C3" s="1707" t="s">
        <v>44</v>
      </c>
      <c r="D3" s="1712"/>
      <c r="E3" s="890" t="s">
        <v>588</v>
      </c>
      <c r="F3" s="891" t="s">
        <v>589</v>
      </c>
      <c r="G3" s="885"/>
      <c r="H3" s="885"/>
      <c r="I3" s="885"/>
      <c r="J3" s="803"/>
      <c r="K3" s="892"/>
      <c r="L3" s="1701"/>
      <c r="M3" s="1701"/>
      <c r="N3" s="1701"/>
      <c r="O3" s="795"/>
      <c r="P3" s="795"/>
      <c r="Q3" s="795"/>
      <c r="R3" s="795"/>
      <c r="S3" s="795"/>
      <c r="T3" s="795"/>
      <c r="U3" s="795"/>
    </row>
    <row r="4" spans="1:21" ht="9" customHeight="1">
      <c r="A4" s="1721" t="s">
        <v>590</v>
      </c>
      <c r="B4" s="1722"/>
      <c r="C4" s="890"/>
      <c r="D4" s="855"/>
      <c r="E4" s="893" t="s">
        <v>573</v>
      </c>
      <c r="F4" s="894" t="s">
        <v>573</v>
      </c>
      <c r="G4" s="1709" t="str">
        <f>IF((F001TotalExp&gt;0)*AND(OR(TotalFTECertSubtotal=0,TotalFTEClassSubtotal=0)),"Incomplete: Please complete the Certified and Classified sections of the Proposed Staffing Table below."," ")</f>
        <v xml:space="preserve"> </v>
      </c>
      <c r="H4" s="1709"/>
      <c r="I4" s="1709"/>
      <c r="J4" s="1709"/>
      <c r="K4" s="892"/>
      <c r="L4" s="895" t="s">
        <v>591</v>
      </c>
      <c r="M4" s="896" t="s">
        <v>215</v>
      </c>
      <c r="N4" s="897" t="s">
        <v>216</v>
      </c>
      <c r="O4" s="795"/>
      <c r="P4" s="795"/>
      <c r="Q4" s="795"/>
      <c r="R4" s="795"/>
      <c r="S4" s="795"/>
      <c r="T4" s="795"/>
      <c r="U4" s="795"/>
    </row>
    <row r="5" spans="1:21" ht="10.5" customHeight="1">
      <c r="A5" s="898"/>
      <c r="B5" s="899"/>
      <c r="C5" s="900" t="s">
        <v>215</v>
      </c>
      <c r="D5" s="901" t="s">
        <v>216</v>
      </c>
      <c r="E5" s="901" t="s">
        <v>592</v>
      </c>
      <c r="F5" s="902" t="s">
        <v>215</v>
      </c>
      <c r="G5" s="1709"/>
      <c r="H5" s="1709"/>
      <c r="I5" s="1709"/>
      <c r="J5" s="1709"/>
      <c r="K5" s="802"/>
      <c r="L5" s="903" t="s">
        <v>354</v>
      </c>
      <c r="M5" s="904">
        <f>F050CurrFY</f>
        <v>0</v>
      </c>
      <c r="N5" s="905">
        <f>F050BudgFY</f>
        <v>0</v>
      </c>
      <c r="O5" s="795"/>
      <c r="P5" s="795"/>
      <c r="Q5" s="795"/>
      <c r="R5" s="795"/>
      <c r="S5" s="795"/>
      <c r="T5" s="795"/>
      <c r="U5" s="795"/>
    </row>
    <row r="6" spans="1:21" ht="10.5" customHeight="1">
      <c r="A6" s="863" t="s">
        <v>593</v>
      </c>
      <c r="B6" s="906"/>
      <c r="C6" s="863">
        <f>F001TotExpCurrFY</f>
        <v>2041041</v>
      </c>
      <c r="D6" s="863">
        <f>F001TotalExp</f>
        <v>2007475</v>
      </c>
      <c r="E6" s="907">
        <f t="shared" ref="E6:E14" si="0">D6-C6</f>
        <v>-33566</v>
      </c>
      <c r="F6" s="908">
        <f t="shared" ref="F6:F21" si="1">IF(C6=D6,0,IF(C6&gt;0,E6/C6,""))</f>
        <v>-1.6E-2</v>
      </c>
      <c r="G6" s="1709"/>
      <c r="H6" s="1709"/>
      <c r="I6" s="1709"/>
      <c r="J6" s="1709"/>
      <c r="K6" s="802"/>
      <c r="L6" s="903" t="s">
        <v>364</v>
      </c>
      <c r="M6" s="904">
        <f>F515CurrFY</f>
        <v>4300</v>
      </c>
      <c r="N6" s="905">
        <f>F515BudgFY</f>
        <v>4300</v>
      </c>
      <c r="O6" s="795"/>
      <c r="P6" s="795"/>
      <c r="Q6" s="795"/>
      <c r="R6" s="795"/>
      <c r="S6" s="795"/>
      <c r="T6" s="795"/>
      <c r="U6" s="795"/>
    </row>
    <row r="7" spans="1:21" ht="10.5" customHeight="1">
      <c r="A7" s="909" t="s">
        <v>594</v>
      </c>
      <c r="B7" s="906"/>
      <c r="C7" s="910">
        <f>F020TotCurrFY</f>
        <v>16000</v>
      </c>
      <c r="D7" s="910">
        <f>F020TotBudgFY</f>
        <v>16000</v>
      </c>
      <c r="E7" s="907">
        <f t="shared" si="0"/>
        <v>0</v>
      </c>
      <c r="F7" s="908">
        <f t="shared" si="1"/>
        <v>0</v>
      </c>
      <c r="G7" s="1709"/>
      <c r="H7" s="1709"/>
      <c r="I7" s="1709"/>
      <c r="J7" s="1709"/>
      <c r="K7" s="802"/>
      <c r="L7" s="903" t="s">
        <v>366</v>
      </c>
      <c r="M7" s="904">
        <f>F520CurrFY</f>
        <v>0</v>
      </c>
      <c r="N7" s="905">
        <f>F520BudgFY</f>
        <v>0</v>
      </c>
      <c r="O7" s="795"/>
      <c r="P7" s="795"/>
      <c r="Q7" s="795"/>
      <c r="R7" s="795"/>
      <c r="S7" s="795"/>
      <c r="T7" s="795"/>
      <c r="U7" s="795"/>
    </row>
    <row r="8" spans="1:21" ht="10.5" customHeight="1">
      <c r="A8" s="911" t="s">
        <v>595</v>
      </c>
      <c r="B8" s="912"/>
      <c r="C8" s="910">
        <f>F071CurrFY</f>
        <v>0</v>
      </c>
      <c r="D8" s="872">
        <f>F071BudgFY</f>
        <v>0</v>
      </c>
      <c r="E8" s="907">
        <f t="shared" si="0"/>
        <v>0</v>
      </c>
      <c r="F8" s="908">
        <f t="shared" si="1"/>
        <v>0</v>
      </c>
      <c r="G8" s="1709"/>
      <c r="H8" s="1709"/>
      <c r="I8" s="1709"/>
      <c r="J8" s="1709"/>
      <c r="K8" s="802"/>
      <c r="L8" s="903" t="s">
        <v>370</v>
      </c>
      <c r="M8" s="904">
        <f>F526CurrFY</f>
        <v>4000</v>
      </c>
      <c r="N8" s="905">
        <f>F526BudgFY</f>
        <v>4000</v>
      </c>
      <c r="O8" s="795"/>
      <c r="P8" s="795"/>
      <c r="Q8" s="795"/>
      <c r="R8" s="795"/>
      <c r="S8" s="795"/>
      <c r="T8" s="795"/>
      <c r="U8" s="795"/>
    </row>
    <row r="9" spans="1:21" ht="12" customHeight="1">
      <c r="A9" s="909" t="s">
        <v>596</v>
      </c>
      <c r="B9" s="906"/>
      <c r="C9" s="910">
        <f>F072CurrFY</f>
        <v>0</v>
      </c>
      <c r="D9" s="872">
        <f>F072BudgFY</f>
        <v>0</v>
      </c>
      <c r="E9" s="913">
        <f t="shared" si="0"/>
        <v>0</v>
      </c>
      <c r="F9" s="914">
        <f t="shared" si="1"/>
        <v>0</v>
      </c>
      <c r="G9" s="1709"/>
      <c r="H9" s="1709"/>
      <c r="I9" s="1709"/>
      <c r="J9" s="1709"/>
      <c r="K9" s="915"/>
      <c r="L9" s="903" t="s">
        <v>372</v>
      </c>
      <c r="M9" s="904">
        <f>F530CurrFY</f>
        <v>10000</v>
      </c>
      <c r="N9" s="905">
        <f>F530BudgFY</f>
        <v>10000</v>
      </c>
      <c r="O9" s="795"/>
      <c r="P9" s="795"/>
      <c r="Q9" s="795"/>
      <c r="R9" s="795"/>
      <c r="S9" s="795"/>
      <c r="T9" s="795"/>
      <c r="U9" s="795"/>
    </row>
    <row r="10" spans="1:21" ht="12" customHeight="1">
      <c r="A10" s="916" t="s">
        <v>597</v>
      </c>
      <c r="B10" s="917"/>
      <c r="C10" s="840">
        <f>F010TotalExpPY</f>
        <v>184968</v>
      </c>
      <c r="D10" s="840">
        <f>F010TotalExp</f>
        <v>216290</v>
      </c>
      <c r="E10" s="913">
        <f>D10-C10</f>
        <v>31322</v>
      </c>
      <c r="F10" s="914">
        <f t="shared" si="1"/>
        <v>0.16900000000000001</v>
      </c>
      <c r="G10" s="1709"/>
      <c r="H10" s="1709"/>
      <c r="I10" s="1709"/>
      <c r="J10" s="1709"/>
      <c r="K10" s="915"/>
      <c r="L10" s="918" t="s">
        <v>374</v>
      </c>
      <c r="M10" s="904">
        <f>F535CurrFY</f>
        <v>0</v>
      </c>
      <c r="N10" s="905">
        <f>F535BudgFY</f>
        <v>0</v>
      </c>
      <c r="O10" s="795"/>
      <c r="P10" s="795"/>
      <c r="Q10" s="795"/>
      <c r="R10" s="795"/>
      <c r="S10" s="795"/>
      <c r="T10" s="795"/>
      <c r="U10" s="795"/>
    </row>
    <row r="11" spans="1:21" ht="12" customHeight="1">
      <c r="A11" s="919" t="s">
        <v>598</v>
      </c>
      <c r="B11" s="920"/>
      <c r="C11" s="867">
        <f>TotFedProjFundCurrFY</f>
        <v>146000</v>
      </c>
      <c r="D11" s="867">
        <f>TotFedProjFundBudgFY</f>
        <v>146000</v>
      </c>
      <c r="E11" s="867">
        <f t="shared" si="0"/>
        <v>0</v>
      </c>
      <c r="F11" s="921">
        <f t="shared" si="1"/>
        <v>0</v>
      </c>
      <c r="G11" s="1709"/>
      <c r="H11" s="1709"/>
      <c r="I11" s="1709"/>
      <c r="J11" s="1709"/>
      <c r="K11" s="915"/>
      <c r="L11" s="922" t="s">
        <v>376</v>
      </c>
      <c r="M11" s="904">
        <f>F540CurrFY</f>
        <v>0</v>
      </c>
      <c r="N11" s="905">
        <f>F540BudgFY</f>
        <v>0</v>
      </c>
      <c r="O11" s="795"/>
      <c r="P11" s="795"/>
      <c r="Q11" s="795"/>
      <c r="R11" s="795"/>
      <c r="S11" s="795"/>
      <c r="T11" s="795"/>
      <c r="U11" s="795"/>
    </row>
    <row r="12" spans="1:21" ht="12" customHeight="1">
      <c r="A12" s="923" t="s">
        <v>599</v>
      </c>
      <c r="B12" s="920"/>
      <c r="C12" s="866">
        <f>TotStateProjFundCurrFY</f>
        <v>4000</v>
      </c>
      <c r="D12" s="866">
        <f>TotStateProjFundBudgFY</f>
        <v>4000</v>
      </c>
      <c r="E12" s="866">
        <f t="shared" si="0"/>
        <v>0</v>
      </c>
      <c r="F12" s="921">
        <f t="shared" si="1"/>
        <v>0</v>
      </c>
      <c r="G12" s="1709"/>
      <c r="H12" s="1709"/>
      <c r="I12" s="1709"/>
      <c r="J12" s="1709"/>
      <c r="K12" s="915"/>
      <c r="L12" s="922" t="s">
        <v>378</v>
      </c>
      <c r="M12" s="904">
        <f>F545CurrFY</f>
        <v>0</v>
      </c>
      <c r="N12" s="905">
        <f>F545BudgFY</f>
        <v>0</v>
      </c>
      <c r="O12" s="795"/>
      <c r="P12" s="795"/>
      <c r="Q12" s="795"/>
      <c r="R12" s="795"/>
      <c r="S12" s="795"/>
      <c r="T12" s="795"/>
      <c r="U12" s="795"/>
    </row>
    <row r="13" spans="1:21" ht="12" customHeight="1">
      <c r="A13" s="919" t="s">
        <v>307</v>
      </c>
      <c r="B13" s="920"/>
      <c r="C13" s="866">
        <f>F610TotalCurrFY</f>
        <v>662168</v>
      </c>
      <c r="D13" s="866">
        <f>F610TotalBudgFY</f>
        <v>509416</v>
      </c>
      <c r="E13" s="866">
        <f t="shared" si="0"/>
        <v>-152752</v>
      </c>
      <c r="F13" s="921">
        <f t="shared" si="1"/>
        <v>-0.23100000000000001</v>
      </c>
      <c r="G13" s="1709"/>
      <c r="H13" s="1709"/>
      <c r="I13" s="1709"/>
      <c r="J13" s="1709"/>
      <c r="K13" s="915"/>
      <c r="L13" s="903" t="s">
        <v>380</v>
      </c>
      <c r="M13" s="904">
        <f>F550CurrFY</f>
        <v>30000</v>
      </c>
      <c r="N13" s="905">
        <f>F550BudgFY</f>
        <v>30000</v>
      </c>
      <c r="O13" s="795"/>
      <c r="P13" s="795"/>
      <c r="Q13" s="795"/>
      <c r="R13" s="795"/>
      <c r="S13" s="795"/>
      <c r="T13" s="795"/>
      <c r="U13" s="795"/>
    </row>
    <row r="14" spans="1:21" ht="12" customHeight="1">
      <c r="A14" s="919" t="s">
        <v>600</v>
      </c>
      <c r="B14" s="920"/>
      <c r="C14" s="866">
        <f>F695TotalCurrFY</f>
        <v>0</v>
      </c>
      <c r="D14" s="866">
        <f>F695TotalBudgFY</f>
        <v>0</v>
      </c>
      <c r="E14" s="866">
        <f t="shared" si="0"/>
        <v>0</v>
      </c>
      <c r="F14" s="921">
        <f t="shared" si="1"/>
        <v>0</v>
      </c>
      <c r="G14" s="1709"/>
      <c r="H14" s="1709"/>
      <c r="I14" s="1709"/>
      <c r="J14" s="1709"/>
      <c r="K14" s="915"/>
      <c r="L14" s="903" t="s">
        <v>382</v>
      </c>
      <c r="M14" s="904">
        <f>F555CurrFY</f>
        <v>0</v>
      </c>
      <c r="N14" s="905">
        <f>F555BudgFY</f>
        <v>0</v>
      </c>
      <c r="O14" s="795"/>
      <c r="P14" s="795"/>
      <c r="Q14" s="795"/>
      <c r="R14" s="795"/>
      <c r="S14" s="795"/>
      <c r="T14" s="795"/>
      <c r="U14" s="795"/>
    </row>
    <row r="15" spans="1:21" ht="12" customHeight="1">
      <c r="A15" s="919" t="s">
        <v>601</v>
      </c>
      <c r="B15" s="920"/>
      <c r="C15" s="866">
        <f>F620TotalCurrFY</f>
        <v>0</v>
      </c>
      <c r="D15" s="866">
        <f>F620TotalBudgFY</f>
        <v>0</v>
      </c>
      <c r="E15" s="866">
        <f t="shared" ref="E15:E21" si="2">D15-C15</f>
        <v>0</v>
      </c>
      <c r="F15" s="921">
        <f t="shared" si="1"/>
        <v>0</v>
      </c>
      <c r="G15" s="802"/>
      <c r="H15" s="802"/>
      <c r="I15" s="802"/>
      <c r="J15" s="802"/>
      <c r="K15" s="915"/>
      <c r="L15" s="903" t="s">
        <v>384</v>
      </c>
      <c r="M15" s="904">
        <f>F565CurrFY</f>
        <v>7400</v>
      </c>
      <c r="N15" s="905">
        <f>F565BudgFY</f>
        <v>7400</v>
      </c>
      <c r="O15" s="795"/>
      <c r="P15" s="795"/>
      <c r="Q15" s="795"/>
      <c r="R15" s="795"/>
      <c r="S15" s="795"/>
      <c r="T15" s="795"/>
      <c r="U15" s="795"/>
    </row>
    <row r="16" spans="1:21" ht="12" customHeight="1">
      <c r="A16" s="919" t="s">
        <v>249</v>
      </c>
      <c r="B16" s="920"/>
      <c r="C16" s="866">
        <f>F700CurrFY</f>
        <v>164000</v>
      </c>
      <c r="D16" s="866">
        <f>F700BudgFY</f>
        <v>164000</v>
      </c>
      <c r="E16" s="866">
        <f t="shared" si="2"/>
        <v>0</v>
      </c>
      <c r="F16" s="921">
        <f t="shared" si="1"/>
        <v>0</v>
      </c>
      <c r="G16" s="1709" t="str">
        <f>IF((F001P200Subtotal&gt;0)*AND(OR((SUM(TotalFTESpecEdTeacher+TotalFTESpecEdStaff=0,(SUM(SPEDTeacher+SPEDStaff=0)))))),"Incomplete: Please complete the Special Education section of the Proposed Staffing Table below."," ")</f>
        <v xml:space="preserve"> </v>
      </c>
      <c r="H16" s="1709"/>
      <c r="I16" s="1709"/>
      <c r="J16" s="1709"/>
      <c r="K16" s="802"/>
      <c r="L16" s="903" t="s">
        <v>386</v>
      </c>
      <c r="M16" s="904">
        <f>F570CurrFY</f>
        <v>14000</v>
      </c>
      <c r="N16" s="905">
        <f>F570BudgFY</f>
        <v>14000</v>
      </c>
      <c r="O16" s="795"/>
      <c r="P16" s="795"/>
      <c r="Q16" s="795"/>
      <c r="R16" s="795"/>
      <c r="S16" s="795"/>
      <c r="T16" s="795"/>
      <c r="U16" s="795"/>
    </row>
    <row r="17" spans="1:21" ht="12" customHeight="1">
      <c r="A17" s="388" t="s">
        <v>602</v>
      </c>
      <c r="B17" s="924"/>
      <c r="C17" s="872">
        <f>F500CurrFY</f>
        <v>5000</v>
      </c>
      <c r="D17" s="866">
        <f>F500BudgFY</f>
        <v>5000</v>
      </c>
      <c r="E17" s="866">
        <f t="shared" si="2"/>
        <v>0</v>
      </c>
      <c r="F17" s="921">
        <f t="shared" si="1"/>
        <v>0</v>
      </c>
      <c r="G17" s="1709"/>
      <c r="H17" s="1709"/>
      <c r="I17" s="1709"/>
      <c r="J17" s="1709"/>
      <c r="K17" s="915"/>
      <c r="L17" s="903" t="s">
        <v>388</v>
      </c>
      <c r="M17" s="904">
        <f>F575CurrFY</f>
        <v>11000</v>
      </c>
      <c r="N17" s="905">
        <f>F575BudgFY</f>
        <v>11000</v>
      </c>
      <c r="O17" s="795"/>
      <c r="P17" s="795"/>
      <c r="Q17" s="795"/>
      <c r="R17" s="795"/>
      <c r="S17" s="795"/>
      <c r="T17" s="795"/>
      <c r="U17" s="795"/>
    </row>
    <row r="18" spans="1:21" ht="12" customHeight="1">
      <c r="A18" s="919" t="s">
        <v>603</v>
      </c>
      <c r="B18" s="920"/>
      <c r="C18" s="866">
        <f>F525CurrFY</f>
        <v>35000</v>
      </c>
      <c r="D18" s="866">
        <f>F525BudgFY</f>
        <v>35000</v>
      </c>
      <c r="E18" s="866">
        <f t="shared" si="2"/>
        <v>0</v>
      </c>
      <c r="F18" s="921">
        <f t="shared" si="1"/>
        <v>0</v>
      </c>
      <c r="G18" s="1709"/>
      <c r="H18" s="1709"/>
      <c r="I18" s="1709"/>
      <c r="J18" s="1709"/>
      <c r="K18" s="915"/>
      <c r="L18" s="903" t="s">
        <v>390</v>
      </c>
      <c r="M18" s="904">
        <f>F580CurrFY</f>
        <v>0</v>
      </c>
      <c r="N18" s="905">
        <f>F580BudgFY</f>
        <v>0</v>
      </c>
      <c r="O18" s="795"/>
      <c r="P18" s="795"/>
      <c r="Q18" s="795"/>
      <c r="R18" s="795"/>
      <c r="S18" s="795"/>
      <c r="T18" s="795"/>
      <c r="U18" s="795"/>
    </row>
    <row r="19" spans="1:21" ht="12" customHeight="1">
      <c r="A19" s="919" t="s">
        <v>604</v>
      </c>
      <c r="B19" s="920"/>
      <c r="C19" s="866">
        <f>F630TotalCurrFY</f>
        <v>0</v>
      </c>
      <c r="D19" s="866">
        <f>F630TotalBudgFY</f>
        <v>0</v>
      </c>
      <c r="E19" s="866">
        <f t="shared" si="2"/>
        <v>0</v>
      </c>
      <c r="F19" s="921">
        <f t="shared" si="1"/>
        <v>0</v>
      </c>
      <c r="G19" s="1709"/>
      <c r="H19" s="1709"/>
      <c r="I19" s="1709"/>
      <c r="J19" s="1709"/>
      <c r="K19" s="915"/>
      <c r="L19" s="903" t="s">
        <v>392</v>
      </c>
      <c r="M19" s="904">
        <f>F585CurrFY</f>
        <v>14000</v>
      </c>
      <c r="N19" s="905">
        <f>F585BudgFY</f>
        <v>14000</v>
      </c>
      <c r="O19" s="795"/>
      <c r="P19" s="795"/>
      <c r="Q19" s="795"/>
      <c r="R19" s="795"/>
      <c r="S19" s="795"/>
      <c r="T19" s="795"/>
      <c r="U19" s="795"/>
    </row>
    <row r="20" spans="1:21" ht="12" customHeight="1">
      <c r="A20" s="919" t="s">
        <v>605</v>
      </c>
      <c r="B20" s="920"/>
      <c r="C20" s="866">
        <f>F510CurrFY</f>
        <v>75000</v>
      </c>
      <c r="D20" s="866">
        <f>F510BudgFY</f>
        <v>75000</v>
      </c>
      <c r="E20" s="866">
        <f t="shared" si="2"/>
        <v>0</v>
      </c>
      <c r="F20" s="921">
        <f t="shared" si="1"/>
        <v>0</v>
      </c>
      <c r="G20" s="1709"/>
      <c r="H20" s="1709"/>
      <c r="I20" s="1709"/>
      <c r="J20" s="1709"/>
      <c r="K20" s="915"/>
      <c r="L20" s="922" t="s">
        <v>394</v>
      </c>
      <c r="M20" s="904">
        <f>F590CurrFY</f>
        <v>0</v>
      </c>
      <c r="N20" s="905">
        <f>F590BudgFY</f>
        <v>0</v>
      </c>
      <c r="O20" s="795"/>
      <c r="P20" s="795"/>
      <c r="Q20" s="795"/>
      <c r="R20" s="795"/>
      <c r="S20" s="795"/>
      <c r="T20" s="795"/>
      <c r="U20" s="795"/>
    </row>
    <row r="21" spans="1:21" ht="12" customHeight="1">
      <c r="A21" s="871" t="s">
        <v>147</v>
      </c>
      <c r="B21" s="925"/>
      <c r="C21" s="872">
        <f>M37</f>
        <v>446700</v>
      </c>
      <c r="D21" s="872">
        <f>N37</f>
        <v>446700</v>
      </c>
      <c r="E21" s="872">
        <f t="shared" si="2"/>
        <v>0</v>
      </c>
      <c r="F21" s="926">
        <f t="shared" si="1"/>
        <v>0</v>
      </c>
      <c r="G21" s="1709"/>
      <c r="H21" s="1709"/>
      <c r="I21" s="1709"/>
      <c r="J21" s="1709"/>
      <c r="K21" s="915"/>
      <c r="L21" s="903" t="s">
        <v>396</v>
      </c>
      <c r="M21" s="904">
        <f>F595CurrFY</f>
        <v>0</v>
      </c>
      <c r="N21" s="905">
        <f>F595BudgFY</f>
        <v>0</v>
      </c>
      <c r="O21" s="795"/>
      <c r="P21" s="795"/>
      <c r="Q21" s="795"/>
      <c r="R21" s="795"/>
      <c r="S21" s="795"/>
      <c r="T21" s="795"/>
      <c r="U21" s="795"/>
    </row>
    <row r="22" spans="1:21" ht="12" customHeight="1">
      <c r="A22" s="795"/>
      <c r="B22" s="795"/>
      <c r="C22" s="795"/>
      <c r="D22" s="795"/>
      <c r="E22" s="795"/>
      <c r="F22" s="795"/>
      <c r="G22" s="1709"/>
      <c r="H22" s="1709"/>
      <c r="I22" s="1709"/>
      <c r="J22" s="1709"/>
      <c r="K22" s="915"/>
      <c r="L22" s="903" t="s">
        <v>398</v>
      </c>
      <c r="M22" s="904">
        <f>F596CurrFY</f>
        <v>100000</v>
      </c>
      <c r="N22" s="905">
        <f>F596BudgFY</f>
        <v>100000</v>
      </c>
      <c r="O22" s="795"/>
      <c r="P22" s="795"/>
      <c r="Q22" s="795"/>
      <c r="R22" s="795"/>
      <c r="S22" s="795"/>
      <c r="T22" s="795"/>
      <c r="U22" s="795"/>
    </row>
    <row r="23" spans="1:21" ht="12" customHeight="1">
      <c r="A23" s="1715" t="s">
        <v>606</v>
      </c>
      <c r="B23" s="1716"/>
      <c r="C23" s="1716"/>
      <c r="D23" s="1716"/>
      <c r="E23" s="1717"/>
      <c r="F23" s="927"/>
      <c r="G23" s="1709"/>
      <c r="H23" s="1709"/>
      <c r="I23" s="1709"/>
      <c r="J23" s="1709"/>
      <c r="K23" s="915"/>
      <c r="L23" s="918" t="s">
        <v>400</v>
      </c>
      <c r="M23" s="904">
        <f>F597CurrFY</f>
        <v>0</v>
      </c>
      <c r="N23" s="905">
        <f>F597BudgFY</f>
        <v>0</v>
      </c>
      <c r="O23" s="795"/>
      <c r="P23" s="795"/>
      <c r="Q23" s="795"/>
      <c r="R23" s="795"/>
      <c r="S23" s="795"/>
      <c r="T23" s="795"/>
      <c r="U23" s="795"/>
    </row>
    <row r="24" spans="1:21" ht="12" customHeight="1" thickBot="1">
      <c r="A24" s="1713" t="s">
        <v>607</v>
      </c>
      <c r="B24" s="1714"/>
      <c r="C24" s="1714"/>
      <c r="D24" s="901" t="s">
        <v>215</v>
      </c>
      <c r="E24" s="901" t="s">
        <v>216</v>
      </c>
      <c r="F24" s="795"/>
      <c r="G24" s="1709"/>
      <c r="H24" s="1709"/>
      <c r="I24" s="1709"/>
      <c r="J24" s="1709"/>
      <c r="K24" s="802"/>
      <c r="L24" s="922" t="s">
        <v>402</v>
      </c>
      <c r="M24" s="904">
        <f>F639CurrFY</f>
        <v>0</v>
      </c>
      <c r="N24" s="905">
        <f>F639BudgFY</f>
        <v>0</v>
      </c>
      <c r="O24" s="795"/>
      <c r="P24" s="795"/>
      <c r="Q24" s="795"/>
      <c r="R24" s="795"/>
      <c r="S24" s="795"/>
      <c r="T24" s="795"/>
      <c r="U24" s="795"/>
    </row>
    <row r="25" spans="1:21" ht="12" customHeight="1">
      <c r="A25" s="928" t="s">
        <v>217</v>
      </c>
      <c r="B25" s="929"/>
      <c r="C25" s="929"/>
      <c r="D25" s="930">
        <f>F001P200PYDisabilityTot</f>
        <v>160000</v>
      </c>
      <c r="E25" s="930">
        <f>F001P200Subtotal</f>
        <v>160000</v>
      </c>
      <c r="F25" s="795"/>
      <c r="G25" s="1709"/>
      <c r="H25" s="1709"/>
      <c r="I25" s="1709"/>
      <c r="J25" s="1709"/>
      <c r="K25" s="802"/>
      <c r="L25" s="922" t="s">
        <v>404</v>
      </c>
      <c r="M25" s="904">
        <f>F650CurrFY</f>
        <v>0</v>
      </c>
      <c r="N25" s="905">
        <f>F650BudgFY</f>
        <v>0</v>
      </c>
      <c r="O25" s="795"/>
      <c r="P25" s="795"/>
      <c r="Q25" s="795"/>
      <c r="R25" s="795"/>
      <c r="S25" s="795"/>
      <c r="T25" s="795"/>
      <c r="U25" s="795"/>
    </row>
    <row r="26" spans="1:21" ht="11.25" customHeight="1">
      <c r="A26" s="931" t="s">
        <v>219</v>
      </c>
      <c r="B26" s="803"/>
      <c r="C26" s="803"/>
      <c r="D26" s="871">
        <f>SPEDGiftedEdCurrFY</f>
        <v>0</v>
      </c>
      <c r="E26" s="871">
        <f>SPEDGiftedEdBudgFY</f>
        <v>0</v>
      </c>
      <c r="F26" s="795"/>
      <c r="G26" s="932"/>
      <c r="H26" s="803"/>
      <c r="I26" s="803"/>
      <c r="J26" s="803"/>
      <c r="K26" s="802"/>
      <c r="L26" s="922" t="s">
        <v>406</v>
      </c>
      <c r="M26" s="904">
        <f>F660CurrFY</f>
        <v>0</v>
      </c>
      <c r="N26" s="905">
        <f>F660BudgFY</f>
        <v>0</v>
      </c>
      <c r="O26" s="795"/>
      <c r="P26" s="795"/>
      <c r="Q26" s="795"/>
      <c r="R26" s="795"/>
      <c r="S26" s="795"/>
      <c r="T26" s="795"/>
      <c r="U26" s="795"/>
    </row>
    <row r="27" spans="1:21" ht="12" customHeight="1">
      <c r="A27" s="931" t="s">
        <v>221</v>
      </c>
      <c r="B27" s="803"/>
      <c r="C27" s="803"/>
      <c r="D27" s="871">
        <f>SPEDRemedialEdCurrFY</f>
        <v>0</v>
      </c>
      <c r="E27" s="871">
        <f>SPEDRemedialEdBudgFY</f>
        <v>0</v>
      </c>
      <c r="F27" s="795"/>
      <c r="G27" s="795"/>
      <c r="H27" s="795"/>
      <c r="I27" s="795"/>
      <c r="J27" s="795"/>
      <c r="K27" s="802"/>
      <c r="L27" s="922" t="s">
        <v>408</v>
      </c>
      <c r="M27" s="904">
        <f>F665CurrFY</f>
        <v>0</v>
      </c>
      <c r="N27" s="905">
        <f>F665BudgFY</f>
        <v>0</v>
      </c>
      <c r="O27" s="795"/>
      <c r="P27" s="795"/>
      <c r="Q27" s="795"/>
      <c r="R27" s="795"/>
      <c r="S27" s="795"/>
      <c r="T27" s="795"/>
      <c r="U27" s="795"/>
    </row>
    <row r="28" spans="1:21" ht="12" customHeight="1">
      <c r="A28" s="933" t="s">
        <v>223</v>
      </c>
      <c r="B28" s="929"/>
      <c r="C28" s="929"/>
      <c r="D28" s="871">
        <f>SPEDELLIncCostCurrFY</f>
        <v>0</v>
      </c>
      <c r="E28" s="871">
        <f>SPEDELLIncCostBudgFY</f>
        <v>0</v>
      </c>
      <c r="F28" s="795"/>
      <c r="G28" s="795"/>
      <c r="H28" s="795"/>
      <c r="I28" s="795"/>
      <c r="J28" s="795"/>
      <c r="K28" s="802"/>
      <c r="L28" s="922" t="s">
        <v>410</v>
      </c>
      <c r="M28" s="904">
        <f>F686CurrFY</f>
        <v>0</v>
      </c>
      <c r="N28" s="905">
        <f>F686BudgFY</f>
        <v>0</v>
      </c>
      <c r="O28" s="795"/>
      <c r="P28" s="795"/>
      <c r="Q28" s="795"/>
      <c r="R28" s="795"/>
      <c r="S28" s="795"/>
      <c r="T28" s="795"/>
      <c r="U28" s="795"/>
    </row>
    <row r="29" spans="1:21" ht="12" customHeight="1">
      <c r="A29" s="933" t="s">
        <v>224</v>
      </c>
      <c r="B29" s="929"/>
      <c r="C29" s="929"/>
      <c r="D29" s="871">
        <f>SPEDELLCompInstrCurrFY</f>
        <v>0</v>
      </c>
      <c r="E29" s="871">
        <f>SPEDELLCompInstrBudgFY</f>
        <v>0</v>
      </c>
      <c r="F29" s="795"/>
      <c r="G29" s="795"/>
      <c r="H29" s="795"/>
      <c r="I29" s="795"/>
      <c r="J29" s="795"/>
      <c r="K29" s="802"/>
      <c r="L29" s="922" t="s">
        <v>412</v>
      </c>
      <c r="M29" s="934">
        <f>F691CurrFY</f>
        <v>200000</v>
      </c>
      <c r="N29" s="935">
        <f>F691BudgFY</f>
        <v>200000</v>
      </c>
      <c r="O29" s="795"/>
      <c r="P29" s="795"/>
      <c r="Q29" s="795"/>
      <c r="R29" s="795"/>
      <c r="S29" s="795"/>
      <c r="T29" s="795"/>
      <c r="U29" s="795"/>
    </row>
    <row r="30" spans="1:21" ht="12" customHeight="1">
      <c r="A30" s="931" t="s">
        <v>225</v>
      </c>
      <c r="B30" s="803"/>
      <c r="C30" s="803"/>
      <c r="D30" s="871">
        <f>SPEDVocTechEdCurrFY</f>
        <v>0</v>
      </c>
      <c r="E30" s="871">
        <f>SPEDVocTechEdBudgFY</f>
        <v>0</v>
      </c>
      <c r="F30" s="795"/>
      <c r="G30" s="795"/>
      <c r="H30" s="795"/>
      <c r="I30" s="795"/>
      <c r="J30" s="795"/>
      <c r="K30" s="795"/>
      <c r="L30" s="922" t="s">
        <v>418</v>
      </c>
      <c r="M30" s="934">
        <f>F720CurrFY</f>
        <v>0</v>
      </c>
      <c r="N30" s="935">
        <f>F720BudgFY</f>
        <v>0</v>
      </c>
      <c r="O30" s="936"/>
      <c r="P30" s="491"/>
      <c r="Q30" s="491"/>
      <c r="R30" s="491"/>
      <c r="S30" s="491"/>
      <c r="T30" s="491"/>
      <c r="U30" s="818"/>
    </row>
    <row r="31" spans="1:21" ht="12" customHeight="1">
      <c r="A31" s="931" t="s">
        <v>227</v>
      </c>
      <c r="B31" s="803"/>
      <c r="C31" s="803"/>
      <c r="D31" s="872">
        <f>SPEDCareerEdCurrFY</f>
        <v>0</v>
      </c>
      <c r="E31" s="872">
        <f>SPEDCareerEdBudgFY</f>
        <v>0</v>
      </c>
      <c r="F31" s="795"/>
      <c r="G31" s="795"/>
      <c r="H31" s="795"/>
      <c r="I31" s="795"/>
      <c r="J31" s="795"/>
      <c r="K31" s="795"/>
      <c r="L31" s="937" t="s">
        <v>421</v>
      </c>
      <c r="M31" s="934">
        <f>F850CurrFY</f>
        <v>20000</v>
      </c>
      <c r="N31" s="935">
        <f>F850BudgFY</f>
        <v>20000</v>
      </c>
      <c r="O31" s="936"/>
      <c r="P31" s="491"/>
      <c r="Q31" s="491"/>
      <c r="R31" s="491"/>
      <c r="S31" s="491"/>
      <c r="T31" s="491"/>
      <c r="U31" s="795"/>
    </row>
    <row r="32" spans="1:21" ht="12" customHeight="1" thickBot="1">
      <c r="A32" s="938" t="s">
        <v>229</v>
      </c>
      <c r="B32" s="929"/>
      <c r="C32" s="929"/>
      <c r="D32" s="939">
        <f t="array" ref="D32">[1]!SummCTEDBY</f>
        <v>127000</v>
      </c>
      <c r="E32" s="939">
        <f>JTEDBudgFY</f>
        <v>127000</v>
      </c>
      <c r="F32" s="795"/>
      <c r="G32" s="795"/>
      <c r="H32" s="795"/>
      <c r="I32" s="795"/>
      <c r="J32" s="795"/>
      <c r="K32" s="795"/>
      <c r="L32" s="903" t="str">
        <f>'Page 6'!O38</f>
        <v>Other _____________________________________</v>
      </c>
      <c r="M32" s="904">
        <f>OtherFundsCurrFY</f>
        <v>0</v>
      </c>
      <c r="N32" s="905">
        <f>OtherFundsBudgFY</f>
        <v>0</v>
      </c>
      <c r="O32" s="795"/>
      <c r="P32" s="795"/>
      <c r="Q32" s="795"/>
      <c r="R32" s="795"/>
      <c r="S32" s="795"/>
      <c r="T32" s="795"/>
      <c r="U32" s="795"/>
    </row>
    <row r="33" spans="1:21" ht="12" customHeight="1" thickBot="1">
      <c r="A33" s="940" t="s">
        <v>608</v>
      </c>
      <c r="B33" s="941"/>
      <c r="C33" s="941"/>
      <c r="D33" s="942">
        <f>SUM(D25:D32)</f>
        <v>287000</v>
      </c>
      <c r="E33" s="942">
        <f>SUM(E25:E32)</f>
        <v>287000</v>
      </c>
      <c r="F33" s="1723" t="str">
        <f>IF(SUM(E25:E32)=F001P200TotBudgFY,"","INVALID. The amount should equal the total budgeted amount reported on line 24, page 1.")</f>
        <v/>
      </c>
      <c r="G33" s="1723"/>
      <c r="H33" s="1723"/>
      <c r="I33" s="1723"/>
      <c r="J33" s="1723"/>
      <c r="K33" s="795"/>
      <c r="L33" s="943" t="str">
        <f>'Page 6'!O40</f>
        <v>9___ Self-Insurance</v>
      </c>
      <c r="M33" s="904">
        <f>F9__SelfInsCurrFY</f>
        <v>0</v>
      </c>
      <c r="N33" s="905">
        <f>F9__SelfInsBudgFY</f>
        <v>0</v>
      </c>
      <c r="O33" s="795"/>
      <c r="P33" s="795"/>
      <c r="Q33" s="795"/>
      <c r="R33" s="795"/>
      <c r="S33" s="795"/>
      <c r="T33" s="795"/>
      <c r="U33" s="795"/>
    </row>
    <row r="34" spans="1:21" ht="12" customHeight="1" thickTop="1">
      <c r="A34" s="795"/>
      <c r="B34" s="795"/>
      <c r="C34" s="795"/>
      <c r="D34" s="795"/>
      <c r="E34" s="795"/>
      <c r="F34" s="1723"/>
      <c r="G34" s="1723"/>
      <c r="H34" s="1723"/>
      <c r="I34" s="1723"/>
      <c r="J34" s="1723"/>
      <c r="K34" s="795"/>
      <c r="L34" s="922" t="s">
        <v>429</v>
      </c>
      <c r="M34" s="904">
        <f>F955CurrFY</f>
        <v>25000</v>
      </c>
      <c r="N34" s="905">
        <f>F955BudgFY</f>
        <v>25000</v>
      </c>
      <c r="O34" s="795"/>
      <c r="P34" s="795"/>
      <c r="Q34" s="795"/>
      <c r="R34" s="795"/>
      <c r="S34" s="795"/>
      <c r="T34" s="795"/>
      <c r="U34" s="795"/>
    </row>
    <row r="35" spans="1:21" ht="10.5" customHeight="1">
      <c r="A35" s="1718" t="s">
        <v>609</v>
      </c>
      <c r="B35" s="1719"/>
      <c r="C35" s="1719"/>
      <c r="D35" s="1719"/>
      <c r="E35" s="1719"/>
      <c r="F35" s="1719"/>
      <c r="G35" s="1719"/>
      <c r="H35" s="1720"/>
      <c r="I35" s="795"/>
      <c r="J35" s="795"/>
      <c r="K35" s="795"/>
      <c r="L35" s="903" t="str">
        <f>'Page 6'!O42</f>
        <v>9__  OPEB</v>
      </c>
      <c r="M35" s="904">
        <f>F9__OPEBCurrFY</f>
        <v>0</v>
      </c>
      <c r="N35" s="905">
        <f>F9__OPEBBudgFY</f>
        <v>0</v>
      </c>
      <c r="O35" s="795"/>
      <c r="P35" s="795"/>
      <c r="Q35" s="795"/>
      <c r="R35" s="795"/>
      <c r="S35" s="795"/>
      <c r="T35" s="795"/>
      <c r="U35" s="795"/>
    </row>
    <row r="36" spans="1:21" ht="21" customHeight="1">
      <c r="A36" s="856" t="s">
        <v>610</v>
      </c>
      <c r="B36" s="857"/>
      <c r="C36" s="857"/>
      <c r="D36" s="944" t="s">
        <v>611</v>
      </c>
      <c r="E36" s="945" t="s">
        <v>612</v>
      </c>
      <c r="F36" s="946" t="s">
        <v>613</v>
      </c>
      <c r="G36" s="1707" t="s">
        <v>614</v>
      </c>
      <c r="H36" s="1708"/>
      <c r="I36" s="795"/>
      <c r="J36" s="795"/>
      <c r="K36" s="795"/>
      <c r="L36" s="943" t="str">
        <f>'Page 6'!O43</f>
        <v>9___   ______________________</v>
      </c>
      <c r="M36" s="904">
        <f>F9__OtherCurrFY</f>
        <v>7000</v>
      </c>
      <c r="N36" s="905">
        <f>F9__OtherBudgFY</f>
        <v>7000</v>
      </c>
      <c r="O36" s="795"/>
      <c r="P36" s="795"/>
      <c r="Q36" s="795"/>
      <c r="R36" s="795"/>
      <c r="S36" s="795"/>
      <c r="T36" s="795"/>
      <c r="U36" s="795"/>
    </row>
    <row r="37" spans="1:21" ht="12" customHeight="1">
      <c r="A37" s="947" t="s">
        <v>615</v>
      </c>
      <c r="B37" s="803"/>
      <c r="C37" s="803"/>
      <c r="D37" s="929"/>
      <c r="E37" s="929"/>
      <c r="F37" s="803"/>
      <c r="G37" s="941"/>
      <c r="H37" s="948"/>
      <c r="I37" s="795"/>
      <c r="J37" s="795"/>
      <c r="K37" s="795"/>
      <c r="L37" s="949" t="s">
        <v>616</v>
      </c>
      <c r="M37" s="950">
        <f>SUM(M5:M36)</f>
        <v>446700</v>
      </c>
      <c r="N37" s="905">
        <f>SUM(N5:N36)</f>
        <v>446700</v>
      </c>
      <c r="O37" s="795"/>
      <c r="P37" s="795"/>
      <c r="Q37" s="795"/>
      <c r="R37" s="795"/>
      <c r="S37" s="795"/>
      <c r="T37" s="795"/>
      <c r="U37" s="795"/>
    </row>
    <row r="38" spans="1:21" ht="12" customHeight="1">
      <c r="A38" s="931" t="s">
        <v>617</v>
      </c>
      <c r="B38" s="802"/>
      <c r="C38" s="802"/>
      <c r="D38" s="78"/>
      <c r="E38" s="78">
        <v>1</v>
      </c>
      <c r="F38" s="951">
        <f>D38+E38</f>
        <v>1</v>
      </c>
      <c r="G38" s="952" t="s">
        <v>618</v>
      </c>
      <c r="H38" s="953">
        <f>IF(F38&gt;0,ROUND(BudgetYearADM/F38,1)," ")</f>
        <v>82</v>
      </c>
      <c r="I38" s="795"/>
      <c r="J38" s="795"/>
      <c r="K38" s="795"/>
      <c r="L38" s="795"/>
      <c r="M38" s="795"/>
      <c r="N38" s="827"/>
      <c r="O38" s="795"/>
      <c r="P38" s="795"/>
      <c r="Q38" s="795"/>
      <c r="R38" s="795"/>
      <c r="S38" s="795"/>
      <c r="T38" s="795"/>
      <c r="U38" s="795"/>
    </row>
    <row r="39" spans="1:21" ht="12" customHeight="1">
      <c r="A39" s="931" t="s">
        <v>619</v>
      </c>
      <c r="B39" s="802"/>
      <c r="C39" s="802"/>
      <c r="D39" s="79"/>
      <c r="E39" s="78">
        <v>14</v>
      </c>
      <c r="F39" s="951">
        <f>D39+E39</f>
        <v>14</v>
      </c>
      <c r="G39" s="955" t="s">
        <v>618</v>
      </c>
      <c r="H39" s="953">
        <f>IF(F39&gt;0,ROUND(BudgetYearADM/F39,1)," ")</f>
        <v>5.9</v>
      </c>
      <c r="I39" s="795"/>
      <c r="J39" s="795"/>
      <c r="K39" s="795"/>
      <c r="L39" s="795"/>
      <c r="M39" s="795"/>
      <c r="N39" s="795"/>
      <c r="O39" s="795"/>
      <c r="P39" s="795"/>
      <c r="Q39" s="795"/>
      <c r="R39" s="795"/>
      <c r="S39" s="795"/>
      <c r="T39" s="795"/>
      <c r="U39" s="795"/>
    </row>
    <row r="40" spans="1:21" ht="12" customHeight="1">
      <c r="A40" s="931" t="s">
        <v>147</v>
      </c>
      <c r="B40" s="802"/>
      <c r="C40" s="802"/>
      <c r="D40" s="79"/>
      <c r="E40" s="79">
        <v>0</v>
      </c>
      <c r="F40" s="951">
        <f>D40+E40</f>
        <v>0</v>
      </c>
      <c r="G40" s="955" t="s">
        <v>618</v>
      </c>
      <c r="H40" s="953" t="str">
        <f>IF(F40&gt;0,ROUND(BudgetYearADM/F40,1)," ")</f>
        <v xml:space="preserve"> </v>
      </c>
      <c r="I40" s="795"/>
      <c r="J40" s="795"/>
      <c r="K40" s="795"/>
      <c r="L40" s="795"/>
      <c r="M40" s="795"/>
      <c r="N40" s="795"/>
      <c r="O40" s="795"/>
      <c r="P40" s="795"/>
      <c r="Q40" s="795"/>
      <c r="R40" s="795"/>
      <c r="S40" s="795"/>
      <c r="T40" s="795"/>
      <c r="U40" s="795"/>
    </row>
    <row r="41" spans="1:21" ht="12" customHeight="1">
      <c r="A41" s="956"/>
      <c r="B41" s="932" t="s">
        <v>620</v>
      </c>
      <c r="C41" s="932"/>
      <c r="D41" s="954">
        <f>SUM(D38:D40)</f>
        <v>0</v>
      </c>
      <c r="E41" s="954">
        <f>SUM(E38:E40)</f>
        <v>15</v>
      </c>
      <c r="F41" s="951">
        <f>D41+E41</f>
        <v>15</v>
      </c>
      <c r="G41" s="955" t="s">
        <v>618</v>
      </c>
      <c r="H41" s="953">
        <f>IF(F41&gt;0,ROUND(BudgetYearADM/F41,1)," ")</f>
        <v>5.5</v>
      </c>
      <c r="I41" s="795"/>
      <c r="J41" s="795"/>
      <c r="K41" s="795"/>
      <c r="L41" s="795"/>
      <c r="M41" s="795"/>
      <c r="N41" s="795"/>
      <c r="O41" s="795"/>
      <c r="P41" s="795"/>
      <c r="Q41" s="795"/>
      <c r="R41" s="795"/>
      <c r="S41" s="795"/>
      <c r="T41" s="795"/>
      <c r="U41" s="795"/>
    </row>
    <row r="42" spans="1:21" ht="12" customHeight="1">
      <c r="A42" s="931" t="s">
        <v>621</v>
      </c>
      <c r="B42" s="803"/>
      <c r="C42" s="803"/>
      <c r="D42" s="957"/>
      <c r="E42" s="957"/>
      <c r="F42" s="884"/>
      <c r="G42" s="958"/>
      <c r="H42" s="953"/>
      <c r="I42" s="795"/>
      <c r="J42" s="795"/>
      <c r="K42" s="795"/>
      <c r="L42" s="795"/>
      <c r="M42" s="795"/>
      <c r="N42" s="795"/>
      <c r="O42" s="795"/>
      <c r="P42" s="795"/>
      <c r="Q42" s="795"/>
      <c r="R42" s="795"/>
      <c r="S42" s="795"/>
      <c r="T42" s="795"/>
      <c r="U42" s="795"/>
    </row>
    <row r="43" spans="1:21" ht="12" customHeight="1">
      <c r="A43" s="931" t="s">
        <v>622</v>
      </c>
      <c r="B43" s="802"/>
      <c r="C43" s="802"/>
      <c r="D43" s="78"/>
      <c r="E43" s="78">
        <v>1</v>
      </c>
      <c r="F43" s="951">
        <f>D43+E43</f>
        <v>1</v>
      </c>
      <c r="G43" s="959" t="s">
        <v>618</v>
      </c>
      <c r="H43" s="953">
        <f>IF(F43&gt;0,ROUND(BudgetYearADM/F43,1)," ")</f>
        <v>82</v>
      </c>
      <c r="I43" s="795"/>
      <c r="J43" s="795"/>
      <c r="K43" s="795"/>
      <c r="L43" s="795"/>
      <c r="M43" s="795"/>
      <c r="N43" s="795"/>
      <c r="O43" s="795"/>
      <c r="P43" s="795"/>
      <c r="Q43" s="795"/>
      <c r="R43" s="795"/>
      <c r="S43" s="795"/>
      <c r="T43" s="795"/>
      <c r="U43" s="795"/>
    </row>
    <row r="44" spans="1:21">
      <c r="A44" s="931" t="s">
        <v>623</v>
      </c>
      <c r="B44" s="802"/>
      <c r="C44" s="802"/>
      <c r="D44" s="79"/>
      <c r="E44" s="78">
        <v>8</v>
      </c>
      <c r="F44" s="951">
        <f>D44+E44</f>
        <v>8</v>
      </c>
      <c r="G44" s="955" t="s">
        <v>618</v>
      </c>
      <c r="H44" s="953">
        <f>IF(F44&gt;0,ROUND(BudgetYearADM/F44,1)," ")</f>
        <v>10.3</v>
      </c>
      <c r="I44" s="795"/>
      <c r="J44" s="795"/>
      <c r="K44" s="795"/>
      <c r="L44" s="795"/>
      <c r="M44" s="795"/>
      <c r="N44" s="795"/>
      <c r="O44" s="795"/>
      <c r="P44" s="795"/>
      <c r="Q44" s="795"/>
      <c r="R44" s="795"/>
      <c r="S44" s="795"/>
      <c r="T44" s="795"/>
      <c r="U44" s="795"/>
    </row>
    <row r="45" spans="1:21" ht="12" customHeight="1">
      <c r="A45" s="960" t="s">
        <v>147</v>
      </c>
      <c r="B45" s="802"/>
      <c r="C45" s="802"/>
      <c r="D45" s="79"/>
      <c r="E45" s="78">
        <v>9</v>
      </c>
      <c r="F45" s="951">
        <f>D45+E45</f>
        <v>9</v>
      </c>
      <c r="G45" s="955" t="s">
        <v>618</v>
      </c>
      <c r="H45" s="953">
        <f>IF(F45&gt;0,ROUND(BudgetYearADM/F45,1)," ")</f>
        <v>9.1</v>
      </c>
      <c r="I45" s="802"/>
      <c r="J45" s="884"/>
      <c r="K45" s="961"/>
      <c r="L45" s="795"/>
      <c r="M45" s="795"/>
      <c r="N45" s="795"/>
      <c r="O45" s="795"/>
      <c r="P45" s="795"/>
      <c r="Q45" s="795"/>
      <c r="R45" s="795"/>
      <c r="S45" s="795"/>
      <c r="T45" s="795"/>
      <c r="U45" s="795"/>
    </row>
    <row r="46" spans="1:21" ht="12" customHeight="1">
      <c r="A46" s="962"/>
      <c r="B46" s="932" t="s">
        <v>620</v>
      </c>
      <c r="C46" s="932"/>
      <c r="D46" s="954">
        <f>SUM(D43:D45)</f>
        <v>0</v>
      </c>
      <c r="E46" s="954">
        <f>SUM(E43:E45)</f>
        <v>18</v>
      </c>
      <c r="F46" s="951">
        <f>D46+E46</f>
        <v>18</v>
      </c>
      <c r="G46" s="955" t="s">
        <v>618</v>
      </c>
      <c r="H46" s="953">
        <f>IF(F46&gt;0,ROUND(BudgetYearADM/F46,1)," ")</f>
        <v>4.5999999999999996</v>
      </c>
      <c r="I46" s="795"/>
      <c r="J46" s="795"/>
      <c r="K46" s="795"/>
      <c r="L46" s="795"/>
      <c r="M46" s="795"/>
      <c r="N46" s="795"/>
      <c r="O46" s="795"/>
      <c r="P46" s="795"/>
      <c r="Q46" s="795"/>
      <c r="R46" s="795"/>
      <c r="S46" s="795"/>
      <c r="T46" s="795"/>
      <c r="U46" s="795"/>
    </row>
    <row r="47" spans="1:21" ht="12" customHeight="1">
      <c r="A47" s="963"/>
      <c r="B47" s="958" t="s">
        <v>572</v>
      </c>
      <c r="C47" s="964"/>
      <c r="D47" s="954">
        <f>D41+D46</f>
        <v>0</v>
      </c>
      <c r="E47" s="954">
        <f>E41+E46</f>
        <v>33</v>
      </c>
      <c r="F47" s="951">
        <f>D47+E47</f>
        <v>33</v>
      </c>
      <c r="G47" s="955" t="s">
        <v>618</v>
      </c>
      <c r="H47" s="953">
        <f>IF(F47&gt;0,ROUND(BudgetYearADM/F47,1)," ")</f>
        <v>2.5</v>
      </c>
      <c r="I47" s="965"/>
      <c r="J47" s="802"/>
      <c r="K47" s="802"/>
      <c r="L47" s="966"/>
      <c r="M47" s="795"/>
      <c r="N47" s="795"/>
      <c r="O47" s="795"/>
      <c r="P47" s="795"/>
      <c r="Q47" s="795"/>
      <c r="R47" s="795"/>
      <c r="S47" s="795"/>
      <c r="T47" s="795"/>
      <c r="U47" s="795"/>
    </row>
    <row r="48" spans="1:21" ht="6.75" customHeight="1">
      <c r="A48" s="967"/>
      <c r="B48" s="884"/>
      <c r="C48" s="884"/>
      <c r="D48" s="819"/>
      <c r="E48" s="819"/>
      <c r="F48" s="968"/>
      <c r="G48" s="961"/>
      <c r="H48" s="969"/>
      <c r="I48" s="802"/>
      <c r="J48" s="802"/>
      <c r="K48" s="802"/>
      <c r="L48" s="795"/>
      <c r="M48" s="795"/>
      <c r="N48" s="795"/>
      <c r="O48" s="795"/>
      <c r="P48" s="795"/>
      <c r="Q48" s="795"/>
      <c r="R48" s="795"/>
      <c r="S48" s="795"/>
      <c r="T48" s="795"/>
      <c r="U48" s="795"/>
    </row>
    <row r="49" spans="1:21" ht="12" customHeight="1">
      <c r="A49" s="967" t="s">
        <v>624</v>
      </c>
      <c r="B49" s="884"/>
      <c r="C49" s="884"/>
      <c r="D49" s="819"/>
      <c r="E49" s="819"/>
      <c r="F49" s="968"/>
      <c r="G49" s="961"/>
      <c r="H49" s="970"/>
      <c r="I49" s="802"/>
      <c r="J49" s="802"/>
      <c r="K49" s="802"/>
      <c r="L49" s="802"/>
      <c r="M49" s="795"/>
      <c r="N49" s="795"/>
      <c r="O49" s="795"/>
      <c r="P49" s="795"/>
      <c r="Q49" s="795"/>
      <c r="R49" s="795"/>
      <c r="S49" s="795"/>
      <c r="T49" s="795"/>
      <c r="U49" s="795"/>
    </row>
    <row r="50" spans="1:21" ht="10.5" customHeight="1">
      <c r="A50" s="967" t="s">
        <v>625</v>
      </c>
      <c r="B50" s="803"/>
      <c r="C50" s="803"/>
      <c r="D50" s="80"/>
      <c r="E50" s="1385">
        <v>1</v>
      </c>
      <c r="F50" s="951">
        <f>D50+E50</f>
        <v>1</v>
      </c>
      <c r="G50" s="971" t="s">
        <v>626</v>
      </c>
      <c r="H50" s="1379">
        <v>17</v>
      </c>
      <c r="I50" s="802"/>
      <c r="J50" s="802"/>
      <c r="K50" s="802"/>
      <c r="L50" s="802"/>
      <c r="M50" s="795"/>
      <c r="N50" s="795"/>
      <c r="O50" s="795"/>
      <c r="P50" s="795"/>
      <c r="Q50" s="795"/>
      <c r="R50" s="795"/>
      <c r="S50" s="795"/>
      <c r="T50" s="795"/>
      <c r="U50" s="795"/>
    </row>
    <row r="51" spans="1:21">
      <c r="A51" s="972" t="s">
        <v>627</v>
      </c>
      <c r="B51" s="973"/>
      <c r="C51" s="974"/>
      <c r="D51" s="80"/>
      <c r="E51" s="1385">
        <v>1</v>
      </c>
      <c r="F51" s="951">
        <f>D51+E51</f>
        <v>1</v>
      </c>
      <c r="G51" s="971" t="s">
        <v>626</v>
      </c>
      <c r="H51" s="1380">
        <v>17</v>
      </c>
      <c r="I51" s="883"/>
      <c r="J51" s="883"/>
      <c r="K51" s="883"/>
      <c r="L51" s="802"/>
      <c r="M51" s="795"/>
      <c r="N51" s="795"/>
      <c r="O51" s="795"/>
      <c r="P51" s="795"/>
      <c r="Q51" s="795"/>
      <c r="R51" s="795"/>
      <c r="S51" s="795"/>
      <c r="T51" s="795"/>
      <c r="U51" s="795"/>
    </row>
    <row r="52" spans="1:21">
      <c r="A52" s="795"/>
      <c r="B52" s="795"/>
      <c r="C52" s="795"/>
      <c r="D52" s="795"/>
      <c r="E52" s="795"/>
      <c r="F52" s="795"/>
      <c r="G52" s="795"/>
      <c r="H52" s="795"/>
      <c r="I52" s="795"/>
      <c r="J52" s="795"/>
      <c r="K52" s="802"/>
      <c r="L52" s="802"/>
      <c r="M52" s="795"/>
      <c r="N52" s="795"/>
      <c r="O52" s="795"/>
      <c r="P52" s="795"/>
      <c r="Q52" s="795"/>
      <c r="R52" s="795"/>
      <c r="S52" s="795"/>
      <c r="T52" s="795"/>
      <c r="U52" s="795"/>
    </row>
    <row r="53" spans="1:21">
      <c r="A53" s="795"/>
      <c r="B53" s="795"/>
      <c r="C53" s="795"/>
      <c r="D53" s="795"/>
      <c r="E53" s="795"/>
      <c r="F53" s="795"/>
      <c r="G53" s="795"/>
      <c r="H53" s="795"/>
      <c r="I53" s="795"/>
      <c r="J53" s="795"/>
      <c r="K53" s="802"/>
      <c r="L53" s="883"/>
      <c r="M53" s="795"/>
      <c r="N53" s="795"/>
      <c r="O53" s="795"/>
      <c r="P53" s="795"/>
      <c r="Q53" s="795"/>
      <c r="R53" s="795"/>
      <c r="S53" s="795"/>
      <c r="T53" s="795"/>
      <c r="U53" s="795"/>
    </row>
    <row r="54" spans="1:21">
      <c r="A54" s="795"/>
      <c r="B54" s="795"/>
      <c r="C54" s="795"/>
      <c r="D54" s="795"/>
      <c r="E54" s="795"/>
      <c r="F54" s="795"/>
      <c r="G54" s="795"/>
      <c r="H54" s="795"/>
      <c r="I54" s="795"/>
      <c r="J54" s="795"/>
      <c r="K54" s="802"/>
      <c r="L54" s="795"/>
      <c r="M54" s="795"/>
      <c r="N54" s="795"/>
      <c r="O54" s="795"/>
      <c r="P54" s="795"/>
      <c r="Q54" s="795"/>
      <c r="R54" s="795"/>
      <c r="S54" s="795"/>
      <c r="T54" s="795"/>
      <c r="U54" s="795"/>
    </row>
    <row r="55" spans="1:21">
      <c r="A55" s="795"/>
      <c r="B55" s="795"/>
      <c r="C55" s="795"/>
      <c r="D55" s="795"/>
      <c r="E55" s="795"/>
      <c r="F55" s="795"/>
      <c r="G55" s="795"/>
      <c r="H55" s="795"/>
      <c r="I55" s="795"/>
      <c r="J55" s="795"/>
      <c r="K55" s="968"/>
      <c r="L55" s="795"/>
      <c r="M55" s="795"/>
      <c r="N55" s="795"/>
      <c r="O55" s="795"/>
      <c r="P55" s="795"/>
      <c r="Q55" s="795"/>
      <c r="R55" s="795"/>
      <c r="S55" s="795"/>
      <c r="T55" s="795"/>
      <c r="U55" s="795"/>
    </row>
  </sheetData>
  <sheetProtection sheet="1" formatCells="0" formatColumns="0" formatRows="0"/>
  <mergeCells count="14">
    <mergeCell ref="L1:N3"/>
    <mergeCell ref="I1:J1"/>
    <mergeCell ref="A1:F1"/>
    <mergeCell ref="I2:J2"/>
    <mergeCell ref="G36:H36"/>
    <mergeCell ref="G16:J25"/>
    <mergeCell ref="A2:F2"/>
    <mergeCell ref="C3:D3"/>
    <mergeCell ref="A24:C24"/>
    <mergeCell ref="A23:E23"/>
    <mergeCell ref="A35:H35"/>
    <mergeCell ref="A4:B4"/>
    <mergeCell ref="G4:J14"/>
    <mergeCell ref="F33:J34"/>
  </mergeCells>
  <printOptions horizontalCentered="1"/>
  <pageMargins left="0.25" right="0.25" top="0.25" bottom="0.25" header="0" footer="0.25"/>
  <pageSetup scale="95" orientation="portrait" r:id="rId1"/>
  <headerFooter>
    <oddFooter>&amp;L&amp;"Times New Roman,Bold"&amp;9Rev. 5/23 Arizona Department of Education and Auditor General&amp;C&amp;"Times New Roman,Regular"&amp;9                    &amp;D  &amp;T&amp;R&amp;"Times New Roman,Bold"&amp;9Page 2 of 2</oddFooter>
  </headerFooter>
</worksheet>
</file>

<file path=xl/worksheets/sheet14.xml><?xml version="1.0" encoding="utf-8"?>
<worksheet xmlns="http://schemas.openxmlformats.org/spreadsheetml/2006/main" xmlns:r="http://schemas.openxmlformats.org/officeDocument/2006/relationships">
  <dimension ref="A1:P53"/>
  <sheetViews>
    <sheetView showGridLines="0" topLeftCell="A19" workbookViewId="0">
      <selection activeCell="I35" sqref="I35"/>
    </sheetView>
  </sheetViews>
  <sheetFormatPr defaultColWidth="8.90625" defaultRowHeight="13.8"/>
  <cols>
    <col min="1" max="1" width="4" style="195" customWidth="1"/>
    <col min="2" max="2" width="1.54296875" style="195" customWidth="1"/>
    <col min="3" max="3" width="1.90625" style="195" customWidth="1"/>
    <col min="4" max="4" width="7.54296875" style="195" customWidth="1"/>
    <col min="5" max="5" width="27.453125" style="195" customWidth="1"/>
    <col min="6" max="6" width="1.453125" style="195" customWidth="1"/>
    <col min="7" max="7" width="12" style="195" customWidth="1"/>
    <col min="8" max="8" width="2.90625" style="195" customWidth="1"/>
    <col min="9" max="9" width="10" style="195" customWidth="1"/>
    <col min="10" max="10" width="3" style="195" customWidth="1"/>
    <col min="11" max="11" width="2.90625" style="195" customWidth="1"/>
    <col min="12" max="12" width="10" style="195" customWidth="1"/>
    <col min="13" max="13" width="3.90625" style="195" customWidth="1"/>
    <col min="14" max="14" width="6.453125" style="195" customWidth="1"/>
    <col min="15" max="16" width="8.90625" style="195" customWidth="1"/>
    <col min="17" max="16384" width="8.90625" style="195"/>
  </cols>
  <sheetData>
    <row r="1" spans="1:15" ht="15" customHeight="1">
      <c r="A1" s="329" t="s">
        <v>71</v>
      </c>
      <c r="B1" s="133"/>
      <c r="C1" s="124"/>
      <c r="E1" s="1733" t="str">
        <f>DistrictName</f>
        <v>Valley Union High School District</v>
      </c>
      <c r="F1" s="1733"/>
      <c r="G1" s="1733"/>
      <c r="H1" s="133"/>
      <c r="I1" s="1489" t="s">
        <v>73</v>
      </c>
      <c r="J1" s="1734"/>
      <c r="K1" s="1734"/>
      <c r="L1" s="128" t="str">
        <f>Cover!S1</f>
        <v>020522000</v>
      </c>
      <c r="M1" s="124"/>
      <c r="O1" s="179"/>
    </row>
    <row r="2" spans="1:15" ht="14.25" customHeight="1">
      <c r="A2" s="124"/>
      <c r="B2" s="124"/>
      <c r="C2" s="131"/>
      <c r="D2" s="131"/>
      <c r="E2" s="132"/>
      <c r="F2" s="132"/>
      <c r="G2" s="132"/>
      <c r="H2" s="132"/>
      <c r="I2" s="131"/>
      <c r="J2" s="134"/>
      <c r="K2" s="125" t="s">
        <v>74</v>
      </c>
      <c r="L2" s="975" t="str">
        <f>Cover!C8</f>
        <v>Proposed</v>
      </c>
      <c r="M2" s="124"/>
      <c r="N2" s="191"/>
      <c r="O2" s="179"/>
    </row>
    <row r="3" spans="1:15">
      <c r="A3" s="976" t="s">
        <v>628</v>
      </c>
      <c r="B3" s="138"/>
      <c r="C3" s="138"/>
      <c r="D3" s="138"/>
      <c r="E3" s="138"/>
      <c r="F3" s="138"/>
      <c r="G3" s="138"/>
      <c r="H3" s="138"/>
      <c r="I3" s="138"/>
      <c r="J3" s="138"/>
      <c r="K3" s="138"/>
      <c r="L3" s="138"/>
      <c r="M3" s="138"/>
      <c r="N3" s="196"/>
    </row>
    <row r="4" spans="1:15" ht="8.25" customHeight="1">
      <c r="A4" s="976"/>
      <c r="B4" s="138"/>
      <c r="C4" s="138"/>
      <c r="D4" s="138"/>
      <c r="E4" s="138"/>
      <c r="F4" s="138"/>
      <c r="G4" s="138"/>
      <c r="H4" s="138"/>
      <c r="I4" s="138"/>
      <c r="J4" s="138"/>
      <c r="K4" s="138"/>
      <c r="L4" s="138"/>
      <c r="M4" s="138"/>
      <c r="N4" s="196"/>
    </row>
    <row r="5" spans="1:15" ht="13.5" customHeight="1">
      <c r="A5" s="243" t="s">
        <v>6</v>
      </c>
      <c r="B5" s="138"/>
      <c r="C5" s="1409" t="s">
        <v>1357</v>
      </c>
      <c r="D5" s="1409"/>
      <c r="E5" s="1409"/>
      <c r="F5" s="1409"/>
      <c r="G5" s="1409"/>
      <c r="H5" s="131" t="s">
        <v>451</v>
      </c>
      <c r="I5" s="688" cm="1">
        <f t="array" ref="I5">[1]!AdjTNTBaseLimit+[1]!ExcessTNTLimit</f>
        <v>355000</v>
      </c>
      <c r="J5" s="138"/>
      <c r="K5" s="138"/>
      <c r="L5" s="138"/>
      <c r="M5" s="138"/>
      <c r="N5" s="196"/>
    </row>
    <row r="6" spans="1:15" ht="12" customHeight="1">
      <c r="A6" s="243" t="s">
        <v>9</v>
      </c>
      <c r="B6" s="138"/>
      <c r="C6" s="124" t="s">
        <v>629</v>
      </c>
      <c r="D6" s="124"/>
      <c r="E6" s="124"/>
      <c r="F6" s="1732" t="str">
        <f>IF(SUM(I11:I14)=0,IF(I7&gt;0,"No budget on lines 4 -7 below. Click here for Instructions",""),"")</f>
        <v/>
      </c>
      <c r="G6" s="1732"/>
      <c r="H6" s="131"/>
      <c r="I6" s="17"/>
      <c r="J6" s="138"/>
      <c r="K6" s="138"/>
      <c r="L6" s="138"/>
      <c r="M6" s="138"/>
      <c r="N6" s="196"/>
    </row>
    <row r="7" spans="1:15" ht="14.25" customHeight="1" thickBot="1">
      <c r="A7" s="235" t="s">
        <v>24</v>
      </c>
      <c r="B7" s="138"/>
      <c r="C7" s="124" t="s">
        <v>630</v>
      </c>
      <c r="D7" s="124"/>
      <c r="E7" s="124"/>
      <c r="F7" s="1732"/>
      <c r="G7" s="1732"/>
      <c r="H7" s="131" t="s">
        <v>451</v>
      </c>
      <c r="I7" s="977">
        <f>I5-I6</f>
        <v>355000</v>
      </c>
      <c r="J7" s="138"/>
      <c r="K7" s="138"/>
      <c r="L7" s="138"/>
      <c r="M7" s="138"/>
      <c r="N7" s="196"/>
    </row>
    <row r="8" spans="1:15" ht="13.5" customHeight="1" thickTop="1">
      <c r="A8" s="235"/>
      <c r="B8" s="124"/>
      <c r="C8" s="698"/>
      <c r="D8" s="698"/>
      <c r="E8" s="698"/>
      <c r="F8" s="1732"/>
      <c r="G8" s="1732"/>
      <c r="H8" s="131"/>
      <c r="I8" s="248"/>
      <c r="J8" s="124"/>
      <c r="K8" s="1726" t="s">
        <v>631</v>
      </c>
      <c r="L8" s="1726"/>
      <c r="M8" s="1726"/>
      <c r="N8" s="978"/>
    </row>
    <row r="9" spans="1:15" ht="13.5" customHeight="1">
      <c r="A9" s="152" t="s">
        <v>632</v>
      </c>
      <c r="B9" s="124"/>
      <c r="D9" s="152"/>
      <c r="E9" s="124"/>
      <c r="F9" s="124"/>
      <c r="G9" s="124"/>
      <c r="H9" s="124"/>
      <c r="I9" s="248"/>
      <c r="J9" s="976"/>
      <c r="K9" s="1726"/>
      <c r="L9" s="1726"/>
      <c r="M9" s="1726"/>
      <c r="N9" s="978"/>
    </row>
    <row r="10" spans="1:15" ht="7.5" customHeight="1">
      <c r="A10" s="131"/>
      <c r="B10" s="124"/>
      <c r="C10" s="124"/>
      <c r="D10" s="124"/>
      <c r="E10" s="124"/>
      <c r="F10" s="124"/>
      <c r="G10" s="124"/>
      <c r="H10" s="124"/>
      <c r="I10" s="248"/>
      <c r="J10" s="976"/>
      <c r="K10" s="1726"/>
      <c r="L10" s="1726"/>
      <c r="M10" s="1726"/>
      <c r="N10" s="978"/>
    </row>
    <row r="11" spans="1:15" ht="13.5" customHeight="1">
      <c r="A11" s="979" t="s">
        <v>51</v>
      </c>
      <c r="B11" s="124"/>
      <c r="C11" s="1727" t="s">
        <v>633</v>
      </c>
      <c r="D11" s="1727"/>
      <c r="E11" s="1727"/>
      <c r="F11" s="157"/>
      <c r="G11" s="157"/>
      <c r="H11" s="131" t="s">
        <v>451</v>
      </c>
      <c r="I11" s="688">
        <v>0</v>
      </c>
      <c r="J11" s="124"/>
      <c r="K11" s="131"/>
      <c r="L11" s="980" t="str">
        <f>IF(ISERROR(I11/$I$35),"",I11/$I$35)</f>
        <v/>
      </c>
      <c r="M11" s="124"/>
      <c r="N11" s="196"/>
    </row>
    <row r="12" spans="1:15" ht="13.5" customHeight="1">
      <c r="A12" s="477" t="s">
        <v>166</v>
      </c>
      <c r="B12" s="124"/>
      <c r="C12" s="124" t="s">
        <v>634</v>
      </c>
      <c r="D12" s="124"/>
      <c r="E12" s="124"/>
      <c r="F12" s="124"/>
      <c r="G12" s="124"/>
      <c r="H12" s="131"/>
      <c r="I12" s="495">
        <f>F001P530</f>
        <v>0</v>
      </c>
      <c r="J12" s="124"/>
      <c r="K12" s="131"/>
      <c r="L12" s="980" t="str">
        <f>IF(ISERROR(I12/$I$35),"",I12/$I$35)</f>
        <v/>
      </c>
      <c r="M12" s="124"/>
      <c r="N12" s="196"/>
    </row>
    <row r="13" spans="1:15" ht="13.5" customHeight="1">
      <c r="A13" s="477" t="s">
        <v>168</v>
      </c>
      <c r="B13" s="124"/>
      <c r="C13" s="1623" t="s">
        <v>635</v>
      </c>
      <c r="D13" s="1623"/>
      <c r="E13" s="1623"/>
      <c r="F13" s="1623"/>
      <c r="G13" s="1623"/>
      <c r="H13" s="131"/>
      <c r="I13" s="688">
        <v>0</v>
      </c>
      <c r="J13" s="124"/>
      <c r="K13" s="131"/>
      <c r="L13" s="980" t="str">
        <f>IF(ISERROR(I13/$I$35),"",I13/$I$35)</f>
        <v/>
      </c>
      <c r="M13" s="124"/>
      <c r="N13" s="196"/>
    </row>
    <row r="14" spans="1:15" ht="13.5" customHeight="1">
      <c r="A14" s="477" t="s">
        <v>170</v>
      </c>
      <c r="B14" s="124"/>
      <c r="C14" s="124" t="s">
        <v>636</v>
      </c>
      <c r="D14" s="124"/>
      <c r="E14" s="124"/>
      <c r="F14" s="124"/>
      <c r="G14" s="124"/>
      <c r="H14" s="131" t="s">
        <v>451</v>
      </c>
      <c r="I14" s="688">
        <f>SSA_MO+SSA_UCO</f>
        <v>355000</v>
      </c>
      <c r="J14" s="124"/>
      <c r="K14" s="131"/>
      <c r="L14" s="980" t="str">
        <f>IF(ISERROR(I14/$I$35),"",I14/$I$35)</f>
        <v/>
      </c>
      <c r="M14" s="124"/>
      <c r="N14" s="196"/>
    </row>
    <row r="15" spans="1:15" ht="20.25" customHeight="1">
      <c r="A15" s="981" t="s">
        <v>637</v>
      </c>
      <c r="B15" s="124"/>
      <c r="D15" s="124"/>
      <c r="E15" s="124"/>
      <c r="F15" s="124"/>
      <c r="G15" s="124"/>
      <c r="H15" s="131"/>
      <c r="I15" s="690"/>
      <c r="J15" s="124"/>
      <c r="K15" s="131"/>
      <c r="L15" s="144"/>
      <c r="M15" s="124"/>
      <c r="N15" s="196"/>
    </row>
    <row r="16" spans="1:15" ht="24" customHeight="1">
      <c r="A16" s="979" t="s">
        <v>172</v>
      </c>
      <c r="B16" s="124"/>
      <c r="C16" s="1730" t="s">
        <v>638</v>
      </c>
      <c r="D16" s="1730"/>
      <c r="E16" s="1730"/>
      <c r="F16" s="1730"/>
      <c r="G16" s="1730"/>
      <c r="H16" s="131"/>
      <c r="I16" s="425"/>
      <c r="J16" s="124"/>
      <c r="K16" s="131"/>
      <c r="L16" s="144"/>
      <c r="M16" s="124"/>
      <c r="N16" s="196"/>
    </row>
    <row r="17" spans="1:14" ht="13.5" customHeight="1">
      <c r="A17" s="979"/>
      <c r="B17" s="124"/>
      <c r="C17" s="982" t="s">
        <v>639</v>
      </c>
      <c r="D17" s="155" t="s">
        <v>640</v>
      </c>
      <c r="E17" s="983"/>
      <c r="F17" s="983" t="s">
        <v>451</v>
      </c>
      <c r="G17" s="31"/>
      <c r="H17" s="131"/>
      <c r="I17" s="425"/>
      <c r="J17" s="124"/>
      <c r="K17" s="131"/>
    </row>
    <row r="18" spans="1:14" ht="25.5" customHeight="1">
      <c r="A18" s="979"/>
      <c r="B18" s="124"/>
      <c r="C18" s="155" t="s">
        <v>641</v>
      </c>
      <c r="D18" s="1510" t="s">
        <v>642</v>
      </c>
      <c r="E18" s="1510"/>
      <c r="F18" s="490"/>
      <c r="G18" s="688">
        <f>SUM('[1]Truth in Tax'!$I$11:$I$13)</f>
        <v>0</v>
      </c>
      <c r="H18" s="131"/>
      <c r="I18" s="425"/>
      <c r="J18" s="124"/>
      <c r="K18" s="131"/>
      <c r="L18" s="144"/>
      <c r="M18" s="124"/>
      <c r="N18" s="196"/>
    </row>
    <row r="19" spans="1:14" ht="13.5" customHeight="1">
      <c r="A19" s="477"/>
      <c r="B19" s="124"/>
      <c r="C19" s="155" t="s">
        <v>643</v>
      </c>
      <c r="D19" s="1731" t="s">
        <v>644</v>
      </c>
      <c r="E19" s="1731"/>
      <c r="F19" s="1731"/>
      <c r="G19" s="1731"/>
      <c r="H19" s="131" t="s">
        <v>451</v>
      </c>
      <c r="I19" s="688">
        <f>IF(G17&lt;&gt;0,G17-G18,0)</f>
        <v>0</v>
      </c>
      <c r="J19" s="124"/>
      <c r="K19" s="131"/>
    </row>
    <row r="20" spans="1:14" ht="13.5" customHeight="1">
      <c r="A20" s="477" t="s">
        <v>174</v>
      </c>
      <c r="B20" s="124"/>
      <c r="C20" s="124" t="s">
        <v>645</v>
      </c>
      <c r="D20" s="132"/>
      <c r="E20" s="132"/>
      <c r="F20" s="132"/>
      <c r="G20" s="132"/>
      <c r="H20" s="131"/>
      <c r="I20" s="690"/>
      <c r="J20" s="124"/>
      <c r="K20" s="131"/>
    </row>
    <row r="21" spans="1:14" ht="13.5" customHeight="1">
      <c r="A21" s="477"/>
      <c r="B21" s="124"/>
      <c r="C21" s="124" t="s">
        <v>639</v>
      </c>
      <c r="D21" s="124" t="s">
        <v>646</v>
      </c>
      <c r="E21" s="131"/>
      <c r="F21" s="131" t="s">
        <v>451</v>
      </c>
      <c r="G21" s="31"/>
      <c r="H21" s="131"/>
      <c r="I21" s="425"/>
      <c r="J21" s="124"/>
      <c r="K21" s="131"/>
      <c r="L21" s="124"/>
      <c r="M21" s="124"/>
      <c r="N21" s="196"/>
    </row>
    <row r="22" spans="1:14" ht="24" customHeight="1">
      <c r="A22" s="979"/>
      <c r="B22" s="124"/>
      <c r="C22" s="155" t="s">
        <v>641</v>
      </c>
      <c r="D22" s="1730" t="s">
        <v>647</v>
      </c>
      <c r="E22" s="1730"/>
      <c r="F22" s="253" t="s">
        <v>451</v>
      </c>
      <c r="G22" s="688">
        <f>'[1]Truth in Tax'!$I$14</f>
        <v>355000</v>
      </c>
      <c r="H22" s="131"/>
      <c r="I22" s="425"/>
      <c r="J22" s="124"/>
      <c r="K22" s="131"/>
      <c r="L22" s="124"/>
      <c r="M22" s="124"/>
      <c r="N22" s="196"/>
    </row>
    <row r="23" spans="1:14" ht="25.5" customHeight="1">
      <c r="A23" s="477"/>
      <c r="B23" s="124"/>
      <c r="C23" s="155" t="s">
        <v>643</v>
      </c>
      <c r="D23" s="1730" t="s">
        <v>648</v>
      </c>
      <c r="E23" s="1730"/>
      <c r="F23" s="253"/>
      <c r="G23" s="124"/>
      <c r="H23" s="131" t="s">
        <v>451</v>
      </c>
      <c r="I23" s="688">
        <f>IF(G21&lt;&gt;0,G21-G22,0)</f>
        <v>0</v>
      </c>
      <c r="J23" s="124"/>
      <c r="K23" s="131"/>
      <c r="L23" s="124"/>
      <c r="M23" s="124"/>
      <c r="N23" s="196"/>
    </row>
    <row r="24" spans="1:14" ht="13.5" customHeight="1" thickBot="1">
      <c r="A24" s="477" t="s">
        <v>176</v>
      </c>
      <c r="B24" s="124"/>
      <c r="C24" s="124" t="s">
        <v>649</v>
      </c>
      <c r="D24" s="124"/>
      <c r="E24" s="124"/>
      <c r="F24" s="124"/>
      <c r="G24" s="124"/>
      <c r="H24" s="131" t="s">
        <v>451</v>
      </c>
      <c r="I24" s="985">
        <f>SUM(I11:I14)+I19+I23</f>
        <v>355000</v>
      </c>
      <c r="J24" s="124"/>
      <c r="K24" s="124"/>
      <c r="L24" s="986"/>
      <c r="M24" s="124"/>
      <c r="N24" s="196"/>
    </row>
    <row r="25" spans="1:14" ht="13.5" customHeight="1" thickTop="1">
      <c r="A25" s="477" t="s">
        <v>178</v>
      </c>
      <c r="B25" s="124"/>
      <c r="C25" s="124" t="s">
        <v>650</v>
      </c>
      <c r="D25" s="124"/>
      <c r="E25" s="124"/>
      <c r="F25" s="124"/>
      <c r="G25" s="124"/>
      <c r="H25" s="124"/>
      <c r="I25" s="1728">
        <f>IF(I24-I7&gt;0,I24-I7,0)</f>
        <v>0</v>
      </c>
      <c r="J25" s="124"/>
      <c r="K25" s="124"/>
      <c r="L25" s="986"/>
      <c r="M25" s="124"/>
      <c r="N25" s="196"/>
    </row>
    <row r="26" spans="1:14" ht="13.5" customHeight="1" thickBot="1">
      <c r="A26" s="235"/>
      <c r="B26" s="124"/>
      <c r="C26" s="124" t="s">
        <v>651</v>
      </c>
      <c r="D26" s="124"/>
      <c r="E26" s="124"/>
      <c r="F26" s="124"/>
      <c r="G26" s="124"/>
      <c r="H26" s="131" t="s">
        <v>451</v>
      </c>
      <c r="I26" s="1729"/>
      <c r="J26" s="124"/>
      <c r="K26" s="124"/>
      <c r="L26" s="986"/>
      <c r="M26" s="124"/>
      <c r="N26" s="196"/>
    </row>
    <row r="27" spans="1:14" ht="7.5" customHeight="1" thickTop="1">
      <c r="A27" s="235"/>
      <c r="B27" s="124"/>
      <c r="C27" s="124"/>
      <c r="D27" s="124"/>
      <c r="E27" s="124"/>
      <c r="F27" s="124"/>
      <c r="G27" s="124"/>
      <c r="H27" s="124"/>
      <c r="I27" s="248"/>
      <c r="J27" s="124"/>
      <c r="K27" s="124"/>
      <c r="L27" s="986"/>
      <c r="M27" s="124"/>
      <c r="N27" s="196"/>
    </row>
    <row r="28" spans="1:14" ht="13.5" customHeight="1">
      <c r="A28" s="477" t="s">
        <v>180</v>
      </c>
      <c r="B28" s="124"/>
      <c r="C28" s="124" t="s">
        <v>652</v>
      </c>
      <c r="D28" s="124"/>
      <c r="E28" s="124"/>
      <c r="F28" s="124"/>
      <c r="G28" s="124"/>
      <c r="H28" s="124"/>
      <c r="I28" s="248"/>
      <c r="J28" s="124"/>
      <c r="K28" s="124"/>
      <c r="L28" s="986"/>
      <c r="M28" s="124"/>
      <c r="N28" s="196"/>
    </row>
    <row r="29" spans="1:14" ht="12" customHeight="1">
      <c r="A29" s="131"/>
      <c r="B29" s="124"/>
      <c r="C29" s="124" t="s">
        <v>653</v>
      </c>
      <c r="D29" s="124"/>
      <c r="E29" s="124"/>
      <c r="F29" s="124"/>
      <c r="G29" s="124"/>
      <c r="H29" s="131" t="s">
        <v>451</v>
      </c>
      <c r="I29" s="984">
        <f>AdjWaysLevy</f>
        <v>0</v>
      </c>
      <c r="J29" s="124"/>
      <c r="K29" s="131"/>
      <c r="L29" s="980" t="str">
        <f>IF(ISERROR(I29/$I$35),"",I29/$I$35)</f>
        <v/>
      </c>
      <c r="M29" s="124"/>
      <c r="N29" s="196"/>
    </row>
    <row r="30" spans="1:14" ht="13.5" customHeight="1">
      <c r="A30" s="477" t="s">
        <v>182</v>
      </c>
      <c r="B30" s="124"/>
      <c r="C30" s="124" t="s">
        <v>654</v>
      </c>
      <c r="D30" s="124"/>
      <c r="E30" s="124"/>
      <c r="F30" s="124"/>
      <c r="G30" s="124"/>
      <c r="H30" s="124"/>
      <c r="I30" s="425"/>
      <c r="J30" s="124"/>
      <c r="K30" s="124"/>
      <c r="L30" s="144"/>
      <c r="M30" s="124"/>
      <c r="N30" s="196"/>
    </row>
    <row r="31" spans="1:14" ht="12" customHeight="1">
      <c r="A31" s="124"/>
      <c r="B31" s="124"/>
      <c r="C31" s="124" t="s">
        <v>655</v>
      </c>
      <c r="D31" s="124"/>
      <c r="E31" s="124"/>
      <c r="F31" s="124"/>
      <c r="G31" s="124"/>
      <c r="H31" s="131" t="s">
        <v>451</v>
      </c>
      <c r="I31" s="31"/>
      <c r="J31" s="124"/>
      <c r="K31" s="131"/>
      <c r="L31" s="980" t="str">
        <f>IF(ISERROR(I31/$I$35),"",I31/$I$35)</f>
        <v/>
      </c>
      <c r="M31" s="124"/>
      <c r="N31" s="196"/>
    </row>
    <row r="32" spans="1:14" ht="5.25" customHeight="1">
      <c r="A32" s="124"/>
      <c r="B32" s="124"/>
      <c r="C32" s="124"/>
      <c r="D32" s="124"/>
      <c r="E32" s="124"/>
      <c r="F32" s="124"/>
      <c r="G32" s="124"/>
      <c r="H32" s="124"/>
      <c r="I32" s="124"/>
      <c r="J32" s="124"/>
      <c r="K32" s="124"/>
      <c r="L32" s="124"/>
      <c r="M32" s="124"/>
      <c r="N32" s="196"/>
    </row>
    <row r="33" spans="1:16" ht="13.5" customHeight="1">
      <c r="A33" s="152" t="s">
        <v>656</v>
      </c>
      <c r="B33" s="124"/>
      <c r="C33" s="124"/>
      <c r="D33" s="124"/>
      <c r="E33" s="124"/>
      <c r="F33" s="124"/>
      <c r="G33" s="124"/>
      <c r="H33" s="124"/>
      <c r="I33" s="124"/>
      <c r="J33" s="124"/>
      <c r="K33" s="124"/>
      <c r="L33" s="124"/>
      <c r="M33" s="124"/>
      <c r="N33" s="196"/>
    </row>
    <row r="34" spans="1:16" ht="13.5" customHeight="1">
      <c r="A34" s="131" t="s">
        <v>657</v>
      </c>
      <c r="C34" s="124" t="s">
        <v>658</v>
      </c>
      <c r="D34" s="177"/>
      <c r="E34" s="124"/>
      <c r="F34" s="124"/>
      <c r="G34" s="124"/>
      <c r="H34" s="131" t="s">
        <v>451</v>
      </c>
      <c r="I34" s="688">
        <f>I25+I29+I31</f>
        <v>0</v>
      </c>
      <c r="J34" s="987"/>
      <c r="K34" s="124"/>
      <c r="L34" s="124"/>
      <c r="M34" s="124"/>
      <c r="N34" s="196"/>
    </row>
    <row r="35" spans="1:16" ht="13.5" customHeight="1">
      <c r="A35" s="131" t="s">
        <v>659</v>
      </c>
      <c r="C35" s="124" t="s">
        <v>660</v>
      </c>
      <c r="D35" s="177"/>
      <c r="E35" s="124"/>
      <c r="F35" s="124"/>
      <c r="G35" s="124"/>
      <c r="H35" s="131" t="s">
        <v>451</v>
      </c>
      <c r="I35" s="19"/>
      <c r="J35" s="473"/>
      <c r="K35" s="124"/>
      <c r="L35" s="124"/>
      <c r="M35" s="124"/>
      <c r="N35" s="196"/>
    </row>
    <row r="36" spans="1:16" ht="13.5" customHeight="1">
      <c r="A36" s="131" t="s">
        <v>661</v>
      </c>
      <c r="C36" s="124" t="s">
        <v>662</v>
      </c>
      <c r="D36" s="177"/>
      <c r="E36" s="124"/>
      <c r="F36" s="124"/>
      <c r="G36" s="124"/>
      <c r="H36" s="131" t="s">
        <v>451</v>
      </c>
      <c r="I36" s="988" t="str">
        <f>IF(I35&gt;0,ROUND((I7/I35)*10000,4)," ")</f>
        <v xml:space="preserve"> </v>
      </c>
      <c r="J36" s="987" t="s">
        <v>437</v>
      </c>
      <c r="K36" s="124"/>
      <c r="L36" s="124"/>
      <c r="M36" s="124"/>
      <c r="N36" s="196"/>
    </row>
    <row r="37" spans="1:16" ht="13.5" customHeight="1">
      <c r="A37" s="131" t="s">
        <v>663</v>
      </c>
      <c r="C37" s="124" t="s">
        <v>664</v>
      </c>
      <c r="D37" s="177"/>
      <c r="E37" s="124"/>
      <c r="F37" s="124"/>
      <c r="G37" s="124"/>
      <c r="H37" s="131" t="s">
        <v>451</v>
      </c>
      <c r="I37" s="495">
        <f>I7+I25+I29+I31</f>
        <v>355000</v>
      </c>
      <c r="J37" s="473"/>
      <c r="K37" s="124"/>
      <c r="L37" s="124"/>
      <c r="M37" s="124"/>
      <c r="N37" s="179"/>
      <c r="O37" s="179"/>
      <c r="P37" s="179"/>
    </row>
    <row r="38" spans="1:16" ht="13.5" customHeight="1">
      <c r="A38" s="131" t="s">
        <v>665</v>
      </c>
      <c r="C38" s="124" t="s">
        <v>666</v>
      </c>
      <c r="D38" s="177"/>
      <c r="E38" s="124"/>
      <c r="F38" s="124"/>
      <c r="G38" s="124"/>
      <c r="H38" s="131" t="s">
        <v>451</v>
      </c>
      <c r="I38" s="988" t="str">
        <f>IF(I35&gt;0,ROUND((I37/I35)*10000,4)," ")</f>
        <v xml:space="preserve"> </v>
      </c>
      <c r="J38" s="987" t="s">
        <v>437</v>
      </c>
      <c r="K38" s="124"/>
      <c r="L38" s="124"/>
      <c r="M38" s="124"/>
      <c r="N38" s="179"/>
      <c r="O38" s="179"/>
      <c r="P38" s="179"/>
    </row>
    <row r="39" spans="1:16" ht="5.25" customHeight="1">
      <c r="A39" s="124"/>
      <c r="B39" s="124"/>
      <c r="C39" s="124"/>
      <c r="D39" s="124"/>
      <c r="E39" s="124"/>
      <c r="F39" s="124"/>
      <c r="G39" s="124"/>
      <c r="H39" s="124"/>
      <c r="I39" s="124"/>
      <c r="J39" s="124"/>
      <c r="K39" s="124"/>
      <c r="L39" s="124"/>
      <c r="M39" s="124"/>
      <c r="N39" s="196"/>
    </row>
    <row r="40" spans="1:16" ht="5.25" customHeight="1">
      <c r="A40" s="124"/>
      <c r="B40" s="124"/>
      <c r="C40" s="124"/>
      <c r="D40" s="124"/>
      <c r="E40" s="124"/>
      <c r="F40" s="124"/>
      <c r="G40" s="124"/>
      <c r="H40" s="124"/>
      <c r="I40" s="124"/>
      <c r="J40" s="124"/>
      <c r="K40" s="124"/>
      <c r="L40" s="124"/>
      <c r="M40" s="124"/>
      <c r="N40" s="196"/>
    </row>
    <row r="41" spans="1:16" ht="15" customHeight="1">
      <c r="A41" s="989" t="s">
        <v>435</v>
      </c>
      <c r="B41" s="155"/>
      <c r="C41" s="1724" t="s">
        <v>667</v>
      </c>
      <c r="D41" s="1724"/>
      <c r="E41" s="1724"/>
      <c r="F41" s="1724"/>
      <c r="G41" s="1724"/>
      <c r="H41" s="1724"/>
      <c r="I41" s="1724"/>
      <c r="J41" s="1724"/>
      <c r="K41" s="1724"/>
      <c r="L41" s="1724"/>
      <c r="M41" s="1479"/>
      <c r="N41"/>
    </row>
    <row r="42" spans="1:16" ht="9" customHeight="1">
      <c r="A42" s="124"/>
      <c r="B42" s="124"/>
      <c r="C42" s="1724"/>
      <c r="D42" s="1724"/>
      <c r="E42" s="1724"/>
      <c r="F42" s="1724"/>
      <c r="G42" s="1724"/>
      <c r="H42" s="1724"/>
      <c r="I42" s="1724"/>
      <c r="J42" s="1724"/>
      <c r="K42" s="1724"/>
      <c r="L42" s="1724"/>
      <c r="M42" s="1479"/>
      <c r="N42"/>
    </row>
    <row r="43" spans="1:16" ht="5.25" customHeight="1">
      <c r="A43" s="124"/>
      <c r="B43" s="124"/>
      <c r="C43" s="124"/>
      <c r="D43" s="124"/>
      <c r="E43" s="124"/>
      <c r="F43" s="124"/>
      <c r="G43" s="124"/>
      <c r="H43" s="124"/>
      <c r="I43" s="124"/>
      <c r="J43" s="124"/>
      <c r="K43" s="124"/>
      <c r="L43" s="124"/>
      <c r="M43" s="124"/>
    </row>
    <row r="44" spans="1:16" ht="14.25" customHeight="1">
      <c r="A44" s="989" t="s">
        <v>437</v>
      </c>
      <c r="B44" s="155"/>
      <c r="C44" s="1724" t="s">
        <v>668</v>
      </c>
      <c r="D44" s="1725"/>
      <c r="E44" s="1725"/>
      <c r="F44" s="1725"/>
      <c r="G44" s="1725"/>
      <c r="H44" s="1725"/>
      <c r="I44" s="1725"/>
      <c r="J44" s="1725"/>
      <c r="K44" s="1725"/>
      <c r="L44" s="1725"/>
      <c r="M44" s="1725"/>
    </row>
    <row r="45" spans="1:16" ht="9.75" customHeight="1">
      <c r="A45" s="124"/>
      <c r="B45" s="124"/>
      <c r="C45" s="1725"/>
      <c r="D45" s="1725"/>
      <c r="E45" s="1725"/>
      <c r="F45" s="1725"/>
      <c r="G45" s="1725"/>
      <c r="H45" s="1725"/>
      <c r="I45" s="1725"/>
      <c r="J45" s="1725"/>
      <c r="K45" s="1725"/>
      <c r="L45" s="1725"/>
      <c r="M45" s="1725"/>
    </row>
    <row r="46" spans="1:16" ht="5.25" customHeight="1">
      <c r="A46" s="124"/>
      <c r="B46" s="124"/>
      <c r="C46" s="124"/>
      <c r="D46" s="124"/>
      <c r="E46" s="124"/>
      <c r="F46" s="124"/>
      <c r="G46" s="124"/>
      <c r="H46" s="124"/>
      <c r="I46" s="124"/>
      <c r="J46" s="124"/>
      <c r="K46" s="124"/>
      <c r="L46" s="124"/>
      <c r="M46" s="124"/>
      <c r="N46" s="196"/>
    </row>
    <row r="47" spans="1:16" ht="15" customHeight="1">
      <c r="A47" s="989"/>
      <c r="B47" s="155"/>
      <c r="C47" s="1724"/>
      <c r="D47" s="1724"/>
      <c r="E47" s="1724"/>
      <c r="F47" s="1724"/>
      <c r="G47" s="1724"/>
      <c r="H47" s="1724"/>
      <c r="I47" s="1724"/>
      <c r="J47" s="1724"/>
      <c r="K47" s="1724"/>
      <c r="L47" s="1724"/>
      <c r="M47" s="1479"/>
      <c r="N47"/>
    </row>
    <row r="48" spans="1:16" ht="9" customHeight="1">
      <c r="A48" s="124"/>
      <c r="B48" s="124"/>
      <c r="C48" s="1724"/>
      <c r="D48" s="1724"/>
      <c r="E48" s="1724"/>
      <c r="F48" s="1724"/>
      <c r="G48" s="1724"/>
      <c r="H48" s="1724"/>
      <c r="I48" s="1724"/>
      <c r="J48" s="1724"/>
      <c r="K48" s="1724"/>
      <c r="L48" s="1724"/>
      <c r="M48" s="1479"/>
      <c r="N48"/>
    </row>
    <row r="49" spans="1:13" ht="5.25" customHeight="1">
      <c r="A49" s="124"/>
      <c r="B49" s="124"/>
      <c r="C49" s="124"/>
      <c r="D49" s="124"/>
      <c r="E49" s="124"/>
      <c r="F49" s="124"/>
      <c r="G49" s="124"/>
      <c r="H49" s="124"/>
      <c r="I49" s="124"/>
      <c r="J49" s="124"/>
      <c r="K49" s="124"/>
      <c r="L49" s="124"/>
      <c r="M49" s="124"/>
    </row>
    <row r="50" spans="1:13" ht="14.25" customHeight="1">
      <c r="A50" s="989"/>
      <c r="B50" s="155"/>
      <c r="C50" s="1724"/>
      <c r="D50" s="1725"/>
      <c r="E50" s="1725"/>
      <c r="F50" s="1725"/>
      <c r="G50" s="1725"/>
      <c r="H50" s="1725"/>
      <c r="I50" s="1725"/>
      <c r="J50" s="1725"/>
      <c r="K50" s="1725"/>
      <c r="L50" s="1725"/>
      <c r="M50" s="1725"/>
    </row>
    <row r="51" spans="1:13" ht="9.75" customHeight="1">
      <c r="A51" s="124"/>
      <c r="B51" s="124"/>
      <c r="C51" s="1725"/>
      <c r="D51" s="1725"/>
      <c r="E51" s="1725"/>
      <c r="F51" s="1725"/>
      <c r="G51" s="1725"/>
      <c r="H51" s="1725"/>
      <c r="I51" s="1725"/>
      <c r="J51" s="1725"/>
      <c r="K51" s="1725"/>
      <c r="L51" s="1725"/>
      <c r="M51" s="1725"/>
    </row>
    <row r="52" spans="1:13">
      <c r="A52" s="179"/>
      <c r="B52" s="179"/>
      <c r="C52" s="179"/>
      <c r="D52" s="179"/>
      <c r="E52" s="179"/>
      <c r="F52" s="179"/>
      <c r="G52" s="179"/>
      <c r="H52" s="179"/>
      <c r="I52" s="179"/>
      <c r="J52" s="179"/>
      <c r="K52" s="179"/>
      <c r="L52" s="179"/>
      <c r="M52" s="179"/>
    </row>
    <row r="53" spans="1:13">
      <c r="A53" s="179"/>
      <c r="B53" s="179"/>
      <c r="C53" s="179"/>
      <c r="D53" s="179"/>
      <c r="E53" s="179"/>
      <c r="F53" s="179"/>
      <c r="G53" s="179"/>
      <c r="H53" s="179"/>
      <c r="I53" s="179"/>
      <c r="J53" s="179"/>
      <c r="K53" s="179"/>
      <c r="L53" s="179"/>
      <c r="M53" s="179"/>
    </row>
  </sheetData>
  <sheetProtection sheet="1" formatCells="0" formatColumns="0" formatRows="0"/>
  <mergeCells count="17">
    <mergeCell ref="E1:G1"/>
    <mergeCell ref="I1:K1"/>
    <mergeCell ref="C5:G5"/>
    <mergeCell ref="C50:M51"/>
    <mergeCell ref="C47:M48"/>
    <mergeCell ref="K8:M10"/>
    <mergeCell ref="C11:E11"/>
    <mergeCell ref="C13:G13"/>
    <mergeCell ref="I25:I26"/>
    <mergeCell ref="C41:M42"/>
    <mergeCell ref="C44:M45"/>
    <mergeCell ref="C16:G16"/>
    <mergeCell ref="D18:E18"/>
    <mergeCell ref="D19:G19"/>
    <mergeCell ref="D22:E22"/>
    <mergeCell ref="D23:E23"/>
    <mergeCell ref="F6:G8"/>
  </mergeCells>
  <dataValidations count="2">
    <dataValidation allowBlank="1" showInputMessage="1" showErrorMessage="1" promptTitle="Deduction for discontinued " prompt="Enter amounts as positve numbers to be subtracted from the TNT base for programs no longer offered by the district, or programs that are no longer funded through an additional primary property tax levy. " sqref="I6"/>
    <dataValidation allowBlank="1" showInputMessage="1" showErrorMessage="1" promptTitle="Desegregation" prompt="Beginning in FY 2019, Desegregation is levied as a secondary tax." sqref="I11"/>
  </dataValidations>
  <hyperlinks>
    <hyperlink ref="A13" r:id="rId1" display="file:///C:\Users\ryoung2\AppData\Local\Microsoft\Windows\INetCache\Content.Outlook\Prohibited%20formula%20characters\Files%20from%20ADE%203-27-23\TruthinTaxl6"/>
    <hyperlink ref="A14" r:id="rId2" display="file:///C:\Users\ryoung2\AppData\Local\Microsoft\Windows\INetCache\Content.Outlook\Prohibited%20formula%20characters\Files%20from%20ADE%203-27-23\TruthinTaxl7"/>
    <hyperlink ref="A18" r:id="rId3" display="10."/>
    <hyperlink ref="A6" location="TruthinTaxl2" display="2."/>
    <hyperlink ref="C17" location="TruthinTaxl8a" display="a."/>
    <hyperlink ref="F6:G8" location="TruthinTaxl2" display="TruthinTaxl2"/>
    <hyperlink ref="A5" location="TruthInTaxl1" display="1."/>
  </hyperlinks>
  <printOptions horizontalCentered="1"/>
  <pageMargins left="0.25" right="0.25" top="0.25" bottom="0.25" header="0.25" footer="0.25"/>
  <pageSetup scale="95" orientation="portrait" r:id="rId4"/>
  <headerFooter>
    <oddFooter>&amp;L&amp;"Times New Roman,Bold"&amp;10Rev. 5/23 Arizona Department of Education and Auditor General&amp;R&amp;"Times New Roman,Regular"&amp;10&amp;D  &amp;T</oddFooter>
  </headerFooter>
  <drawing r:id="rId5"/>
</worksheet>
</file>

<file path=xl/worksheets/sheet15.xml><?xml version="1.0" encoding="utf-8"?>
<worksheet xmlns="http://schemas.openxmlformats.org/spreadsheetml/2006/main" xmlns:r="http://schemas.openxmlformats.org/officeDocument/2006/relationships">
  <dimension ref="A1:AA131"/>
  <sheetViews>
    <sheetView showGridLines="0" topLeftCell="B18" workbookViewId="0">
      <selection activeCell="G33" sqref="G33"/>
    </sheetView>
  </sheetViews>
  <sheetFormatPr defaultColWidth="9.08984375" defaultRowHeight="12"/>
  <cols>
    <col min="1" max="1" width="2.453125" style="124" customWidth="1"/>
    <col min="2" max="2" width="2.08984375" style="124" customWidth="1"/>
    <col min="3" max="3" width="2.54296875" style="124" customWidth="1"/>
    <col min="4" max="4" width="3" style="124" customWidth="1"/>
    <col min="5" max="5" width="15.08984375" style="124" customWidth="1"/>
    <col min="6" max="6" width="9.08984375" style="124" customWidth="1"/>
    <col min="7" max="7" width="9.453125" style="124" customWidth="1"/>
    <col min="8" max="9" width="9.08984375" style="124" customWidth="1"/>
    <col min="10" max="10" width="9.90625" style="124" customWidth="1"/>
    <col min="11" max="11" width="11.453125" style="124" customWidth="1"/>
    <col min="12" max="12" width="9.90625" style="124" customWidth="1"/>
    <col min="13" max="14" width="9.08984375" style="124" customWidth="1"/>
    <col min="15" max="15" width="10" style="124" customWidth="1"/>
    <col min="16" max="16" width="3" style="124" customWidth="1"/>
    <col min="17" max="17" width="9.90625" style="124" bestFit="1" customWidth="1"/>
    <col min="18" max="19" width="9.08984375" style="124" customWidth="1"/>
    <col min="20" max="16384" width="9.08984375" style="124"/>
  </cols>
  <sheetData>
    <row r="1" spans="1:16">
      <c r="A1" s="1735" t="s">
        <v>669</v>
      </c>
      <c r="B1" s="1735"/>
      <c r="C1" s="1735"/>
      <c r="D1" s="1735"/>
      <c r="E1" s="1737" t="str">
        <f>DistrictName</f>
        <v>Valley Union High School District</v>
      </c>
      <c r="F1" s="1737"/>
      <c r="G1" s="1737"/>
      <c r="H1" s="614" t="s">
        <v>670</v>
      </c>
      <c r="I1" s="1736" t="str">
        <f>Cover!H1</f>
        <v>Cochise</v>
      </c>
      <c r="J1" s="1737"/>
      <c r="K1" s="614" t="s">
        <v>671</v>
      </c>
      <c r="L1" s="990" t="str">
        <f>CTD</f>
        <v>020522000</v>
      </c>
    </row>
    <row r="2" spans="1:16">
      <c r="K2" s="614" t="s">
        <v>18</v>
      </c>
      <c r="L2" s="990" t="str">
        <f>Cover!C8</f>
        <v>Proposed</v>
      </c>
    </row>
    <row r="3" spans="1:16" ht="15.6">
      <c r="F3" s="1446" t="s">
        <v>672</v>
      </c>
      <c r="G3" s="1446"/>
      <c r="H3" s="1446"/>
      <c r="I3" s="1446"/>
    </row>
    <row r="4" spans="1:16" ht="12.6" thickBot="1"/>
    <row r="5" spans="1:16" ht="16.5" customHeight="1" thickBot="1">
      <c r="B5" s="991" t="s">
        <v>673</v>
      </c>
      <c r="C5" s="992"/>
      <c r="D5" s="992"/>
      <c r="E5" s="992"/>
      <c r="F5" s="992"/>
      <c r="G5" s="992"/>
      <c r="H5" s="992"/>
      <c r="I5" s="992"/>
      <c r="J5" s="992"/>
      <c r="K5" s="993"/>
      <c r="L5" s="1743" t="str">
        <f>IF(OR(L1=0,L2=0),"ENTER CTD NUMBER AND VERSION ON COVER PAGE","")</f>
        <v/>
      </c>
      <c r="M5" s="1744"/>
    </row>
    <row r="6" spans="1:16" ht="12.75" customHeight="1" thickBot="1">
      <c r="B6" s="994"/>
      <c r="C6" s="995" t="s">
        <v>674</v>
      </c>
      <c r="D6" s="996"/>
      <c r="E6" s="996"/>
      <c r="F6" s="996"/>
      <c r="G6" s="996"/>
      <c r="H6" s="996"/>
      <c r="I6" s="997" t="s">
        <v>451</v>
      </c>
      <c r="J6" s="998">
        <v>4914.71</v>
      </c>
      <c r="K6" s="999"/>
      <c r="L6" s="1743"/>
      <c r="M6" s="1744"/>
    </row>
    <row r="7" spans="1:16" ht="12.75" customHeight="1" thickBot="1">
      <c r="B7" s="994"/>
      <c r="C7" s="995" t="s">
        <v>675</v>
      </c>
      <c r="D7" s="996"/>
      <c r="E7" s="996"/>
      <c r="F7" s="996"/>
      <c r="G7" s="996"/>
      <c r="H7" s="996"/>
      <c r="I7" s="1000"/>
      <c r="J7" s="1001"/>
      <c r="K7" s="1002"/>
      <c r="L7" s="1743"/>
      <c r="M7" s="1744"/>
    </row>
    <row r="8" spans="1:16" ht="12.75" customHeight="1" thickBot="1">
      <c r="B8" s="994"/>
      <c r="C8" s="996"/>
      <c r="D8" s="995" t="s">
        <v>676</v>
      </c>
      <c r="E8" s="996"/>
      <c r="F8" s="996"/>
      <c r="G8" s="996"/>
      <c r="H8" s="996"/>
      <c r="I8" s="997" t="s">
        <v>451</v>
      </c>
      <c r="J8" s="1003">
        <v>2.89</v>
      </c>
      <c r="K8" s="999"/>
      <c r="L8" s="1743"/>
      <c r="M8" s="1744"/>
    </row>
    <row r="9" spans="1:16" ht="12.75" customHeight="1" thickBot="1">
      <c r="B9" s="994"/>
      <c r="C9" s="996"/>
      <c r="D9" s="995" t="s">
        <v>677</v>
      </c>
      <c r="E9" s="996"/>
      <c r="F9" s="996"/>
      <c r="G9" s="996"/>
      <c r="H9" s="996"/>
      <c r="I9" s="997" t="s">
        <v>451</v>
      </c>
      <c r="J9" s="1003">
        <v>2.37</v>
      </c>
      <c r="K9" s="999"/>
      <c r="L9" s="1743"/>
      <c r="M9" s="1744"/>
    </row>
    <row r="10" spans="1:16" ht="24" customHeight="1" thickBot="1">
      <c r="B10" s="994"/>
      <c r="C10" s="1747" t="s">
        <v>1342</v>
      </c>
      <c r="D10" s="1748"/>
      <c r="E10" s="1748"/>
      <c r="F10" s="1748"/>
      <c r="G10" s="1748"/>
      <c r="H10" s="1748"/>
      <c r="I10" s="1749"/>
      <c r="J10" s="1004">
        <v>1.6549</v>
      </c>
      <c r="K10" s="999"/>
      <c r="L10" s="1743"/>
      <c r="M10" s="1744"/>
    </row>
    <row r="11" spans="1:16" ht="9" customHeight="1" thickBot="1">
      <c r="B11" s="1005"/>
      <c r="C11" s="1006"/>
      <c r="D11" s="1006"/>
      <c r="E11" s="1006"/>
      <c r="F11" s="1006"/>
      <c r="G11" s="1006"/>
      <c r="H11" s="1006"/>
      <c r="I11" s="1006"/>
      <c r="J11" s="1006"/>
      <c r="K11" s="1007"/>
      <c r="L11" s="1743"/>
      <c r="M11" s="1744"/>
    </row>
    <row r="13" spans="1:16" ht="15.6">
      <c r="A13" s="453" t="s">
        <v>678</v>
      </c>
      <c r="C13" s="453"/>
      <c r="D13" s="453"/>
      <c r="E13" s="453"/>
    </row>
    <row r="14" spans="1:16" ht="49.5" customHeight="1">
      <c r="B14" s="1510" t="s">
        <v>679</v>
      </c>
      <c r="C14" s="1731"/>
      <c r="D14" s="1731"/>
      <c r="E14" s="1731"/>
      <c r="F14" s="1731"/>
      <c r="G14" s="1731"/>
      <c r="H14" s="1731"/>
      <c r="I14" s="1731"/>
      <c r="J14" s="1731"/>
      <c r="K14" s="1731"/>
    </row>
    <row r="15" spans="1:16" ht="17.25" customHeight="1">
      <c r="C15" s="152" t="s">
        <v>680</v>
      </c>
      <c r="G15" s="1008" t="s">
        <v>681</v>
      </c>
      <c r="H15" s="1008" t="s">
        <v>682</v>
      </c>
      <c r="I15" s="1009" t="s">
        <v>683</v>
      </c>
      <c r="J15" s="1010" t="s">
        <v>616</v>
      </c>
      <c r="K15" s="1011"/>
      <c r="L15" s="1745" t="s">
        <v>1343</v>
      </c>
      <c r="M15" s="1745"/>
      <c r="N15" s="1745"/>
      <c r="O15" s="1746"/>
      <c r="P15" s="81"/>
    </row>
    <row r="16" spans="1:16" ht="11.25" customHeight="1">
      <c r="B16" s="1012" t="s">
        <v>6</v>
      </c>
      <c r="C16" s="1409" t="s">
        <v>684</v>
      </c>
      <c r="D16" s="1409"/>
      <c r="E16" s="1409"/>
      <c r="G16" s="1013"/>
      <c r="H16" s="1013"/>
      <c r="I16" s="1014"/>
      <c r="J16" s="98">
        <v>85.660200000000003</v>
      </c>
      <c r="K16" s="1741" t="str">
        <f>IF(AND(J22&gt;0,PY100DayADM=""),"ENTER "&amp;C16,"")</f>
        <v/>
      </c>
      <c r="L16" s="1742"/>
      <c r="M16" s="1742"/>
      <c r="N16" s="1742"/>
    </row>
    <row r="17" spans="2:26" ht="11.25" customHeight="1">
      <c r="B17" s="1012" t="s">
        <v>685</v>
      </c>
      <c r="C17" s="1409" t="s">
        <v>686</v>
      </c>
      <c r="D17" s="1409"/>
      <c r="E17" s="1409"/>
      <c r="G17" s="99"/>
      <c r="H17" s="99"/>
      <c r="I17" s="100">
        <v>79.229299999999995</v>
      </c>
      <c r="J17" s="1016">
        <f>UnweightedStudCntPSDPY+UnweightedStudCntK8PY+UnweightedStudCnt912PY</f>
        <v>79.229299999999995</v>
      </c>
      <c r="K17" s="1741"/>
      <c r="L17" s="1742"/>
      <c r="M17" s="1742"/>
      <c r="N17" s="1742"/>
      <c r="Y17" s="1018">
        <f>IF(AND(UnweightedStudCntK8PY&gt;125,UnweightedStudCntK8PY&lt;154),1,0)</f>
        <v>0</v>
      </c>
      <c r="Z17" s="1019">
        <f>IF(AND(UnweightedStudCnt912PY&gt;100,UnweightedStudCnt912PY&lt;176),1,0)</f>
        <v>0</v>
      </c>
    </row>
    <row r="18" spans="2:26">
      <c r="B18" s="1020"/>
      <c r="C18" s="152" t="s">
        <v>687</v>
      </c>
      <c r="G18" s="988"/>
      <c r="H18" s="988"/>
      <c r="I18" s="988"/>
      <c r="J18" s="988"/>
    </row>
    <row r="19" spans="2:26" ht="11.25" customHeight="1">
      <c r="B19" s="1012" t="s">
        <v>24</v>
      </c>
      <c r="C19" s="124" t="s">
        <v>688</v>
      </c>
      <c r="G19" s="99"/>
      <c r="H19" s="99"/>
      <c r="I19" s="100">
        <v>82</v>
      </c>
      <c r="J19" s="1016">
        <f>NonAOIStudCntPSDCY+NonAOIStudCntK8CY+NonAOIStudCnt912CY</f>
        <v>82</v>
      </c>
      <c r="K19" s="1753" t="str">
        <f>IF(AND(VALUE(LEFT(RIGHT(L1,7),2))=3,P15&lt;&gt;"X",OR(NonAOIStudCnt912CY&lt;&gt;"",AOIFTStudCnt912CY&lt;&gt;"",AOIPTStudCnt912CY&lt;&gt;"")),"ERROR: Type 03 districts should only enter amounts on lines 3 through 5 for those high school students that it educates. Type 03 districts that educate their high school students should use the checkbox in cell P15.","")</f>
        <v/>
      </c>
      <c r="L19" s="1754"/>
      <c r="M19" s="1754"/>
    </row>
    <row r="20" spans="2:26">
      <c r="B20" s="1012" t="s">
        <v>51</v>
      </c>
      <c r="C20" s="124" t="s">
        <v>689</v>
      </c>
      <c r="G20" s="1021"/>
      <c r="H20" s="99"/>
      <c r="I20" s="100"/>
      <c r="J20" s="1016">
        <f>AOIFTStudCntK8CY+AOIFTStudCnt912CY</f>
        <v>0</v>
      </c>
      <c r="K20" s="1753"/>
      <c r="L20" s="1754"/>
      <c r="M20" s="1754"/>
    </row>
    <row r="21" spans="2:26">
      <c r="B21" s="1012" t="s">
        <v>166</v>
      </c>
      <c r="C21" s="124" t="s">
        <v>690</v>
      </c>
      <c r="G21" s="1021"/>
      <c r="H21" s="99"/>
      <c r="I21" s="100"/>
      <c r="J21" s="1016">
        <f>AOIPTStudCntK8CY+AOIPTStudCnt912CY</f>
        <v>0</v>
      </c>
      <c r="K21" s="1753"/>
      <c r="L21" s="1754"/>
      <c r="M21" s="1754"/>
    </row>
    <row r="22" spans="2:26">
      <c r="B22" s="283" t="s">
        <v>168</v>
      </c>
      <c r="C22" s="124" t="s">
        <v>691</v>
      </c>
      <c r="G22" s="1016">
        <f>NonAOIStudCntPSDCY</f>
        <v>0</v>
      </c>
      <c r="H22" s="1016">
        <f>NonAOIStudCntK8CY+AOIFTStudCntK8CY+AOIPTStudCntK8CY</f>
        <v>0</v>
      </c>
      <c r="I22" s="1017">
        <f>NonAOIStudCnt912CY+AOIFTStudCnt912CY+AOIPTStudCnt912CY</f>
        <v>82</v>
      </c>
      <c r="J22" s="1016">
        <f>G22+H22+I22</f>
        <v>82</v>
      </c>
      <c r="K22" s="1754"/>
      <c r="L22" s="1754"/>
      <c r="M22" s="1754"/>
    </row>
    <row r="23" spans="2:26" ht="12.75" customHeight="1">
      <c r="J23" s="812"/>
      <c r="K23" s="1754"/>
      <c r="L23" s="1754"/>
      <c r="M23" s="1754"/>
    </row>
    <row r="25" spans="2:26" ht="12.75" customHeight="1">
      <c r="B25" s="1757" t="s">
        <v>692</v>
      </c>
      <c r="C25" s="1757"/>
      <c r="D25" s="1757"/>
      <c r="E25" s="1757"/>
    </row>
    <row r="26" spans="2:26" ht="15" customHeight="1">
      <c r="B26" s="981"/>
      <c r="C26" s="155" t="s">
        <v>693</v>
      </c>
    </row>
    <row r="27" spans="2:26" ht="35.25" customHeight="1">
      <c r="B27" s="491"/>
      <c r="C27" s="484"/>
      <c r="D27" s="1022"/>
      <c r="E27" s="1022"/>
      <c r="F27" s="1023"/>
      <c r="G27" s="1024" t="s">
        <v>694</v>
      </c>
      <c r="H27" s="1024" t="s">
        <v>695</v>
      </c>
      <c r="I27" s="1024" t="s">
        <v>696</v>
      </c>
      <c r="M27" s="165"/>
      <c r="N27" s="165"/>
      <c r="P27" s="165"/>
      <c r="Q27" s="165"/>
    </row>
    <row r="28" spans="2:26" ht="11.25" customHeight="1">
      <c r="B28" s="1012" t="s">
        <v>170</v>
      </c>
      <c r="C28" s="1025" t="s">
        <v>697</v>
      </c>
      <c r="D28" s="1026"/>
      <c r="E28" s="1026"/>
      <c r="F28" s="1026"/>
      <c r="G28" s="101"/>
      <c r="H28" s="102"/>
      <c r="I28" s="101"/>
      <c r="M28" s="1027"/>
      <c r="N28" s="1027"/>
      <c r="P28" s="1027"/>
      <c r="Q28" s="1027"/>
    </row>
    <row r="29" spans="2:26">
      <c r="B29" s="1028" t="s">
        <v>172</v>
      </c>
      <c r="C29" s="1029" t="s">
        <v>698</v>
      </c>
      <c r="D29" s="1030"/>
      <c r="E29" s="1030"/>
      <c r="F29" s="1030"/>
      <c r="G29" s="103"/>
      <c r="H29" s="73"/>
      <c r="I29" s="73"/>
      <c r="M29" s="1031"/>
      <c r="N29" s="1032"/>
      <c r="O29" s="1032"/>
      <c r="P29" s="1031"/>
      <c r="Q29" s="1032"/>
    </row>
    <row r="30" spans="2:26">
      <c r="B30" s="1012" t="s">
        <v>174</v>
      </c>
      <c r="C30" s="1025" t="s">
        <v>699</v>
      </c>
      <c r="D30" s="1026"/>
      <c r="E30" s="1026"/>
      <c r="F30" s="1026"/>
      <c r="G30" s="101"/>
      <c r="H30" s="99"/>
      <c r="I30" s="99"/>
      <c r="M30" s="1031"/>
      <c r="N30" s="1032"/>
      <c r="O30" s="1032"/>
      <c r="P30" s="1031"/>
      <c r="Q30" s="1032"/>
    </row>
    <row r="31" spans="2:26">
      <c r="B31" s="1012" t="s">
        <v>176</v>
      </c>
      <c r="C31" s="1029" t="s">
        <v>700</v>
      </c>
      <c r="D31" s="1030"/>
      <c r="E31" s="1030"/>
      <c r="F31" s="1030"/>
      <c r="G31" s="103"/>
      <c r="H31" s="73"/>
      <c r="I31" s="73"/>
      <c r="M31" s="1031"/>
      <c r="N31" s="1032"/>
      <c r="O31" s="1032"/>
      <c r="P31" s="1031"/>
      <c r="Q31" s="1032"/>
    </row>
    <row r="32" spans="2:26">
      <c r="B32" s="1012" t="s">
        <v>178</v>
      </c>
      <c r="C32" s="1025" t="s">
        <v>701</v>
      </c>
      <c r="D32" s="1026"/>
      <c r="E32" s="1026"/>
      <c r="F32" s="1026"/>
      <c r="G32" s="101">
        <v>2</v>
      </c>
      <c r="H32" s="99"/>
      <c r="I32" s="99"/>
      <c r="M32" s="1031"/>
      <c r="N32" s="1032"/>
      <c r="O32" s="1032"/>
      <c r="P32" s="1031"/>
      <c r="Q32" s="1032"/>
    </row>
    <row r="33" spans="1:18">
      <c r="B33" s="1012" t="s">
        <v>180</v>
      </c>
      <c r="C33" s="1029" t="s">
        <v>702</v>
      </c>
      <c r="D33" s="1030"/>
      <c r="E33" s="1030"/>
      <c r="F33" s="1030"/>
      <c r="G33" s="103"/>
      <c r="H33" s="73"/>
      <c r="I33" s="73"/>
      <c r="M33" s="1031"/>
      <c r="N33" s="1032"/>
      <c r="O33" s="1032"/>
      <c r="P33" s="1031"/>
      <c r="Q33" s="1032"/>
    </row>
    <row r="34" spans="1:18">
      <c r="B34" s="1012" t="s">
        <v>182</v>
      </c>
      <c r="C34" s="1025" t="s">
        <v>703</v>
      </c>
      <c r="D34" s="1026"/>
      <c r="E34" s="1026"/>
      <c r="F34" s="1026"/>
      <c r="G34" s="101"/>
      <c r="H34" s="99"/>
      <c r="I34" s="99"/>
      <c r="M34" s="1031"/>
      <c r="N34" s="1032"/>
      <c r="O34" s="1032"/>
      <c r="P34" s="1031"/>
      <c r="Q34" s="1032"/>
    </row>
    <row r="35" spans="1:18">
      <c r="B35" s="1012" t="s">
        <v>184</v>
      </c>
      <c r="C35" s="1029" t="s">
        <v>704</v>
      </c>
      <c r="D35" s="1030"/>
      <c r="E35" s="1030"/>
      <c r="F35" s="1030"/>
      <c r="G35" s="103"/>
      <c r="H35" s="73"/>
      <c r="I35" s="73"/>
      <c r="M35" s="1031"/>
      <c r="N35" s="1032"/>
      <c r="O35" s="1032"/>
      <c r="P35" s="1031"/>
      <c r="Q35" s="1032"/>
    </row>
    <row r="36" spans="1:18">
      <c r="B36" s="1012" t="s">
        <v>186</v>
      </c>
      <c r="C36" s="1025" t="s">
        <v>705</v>
      </c>
      <c r="D36" s="1026"/>
      <c r="E36" s="1026"/>
      <c r="F36" s="1026"/>
      <c r="G36" s="101"/>
      <c r="H36" s="99"/>
      <c r="I36" s="99"/>
      <c r="M36" s="1031"/>
      <c r="N36" s="1032"/>
      <c r="O36" s="1032"/>
      <c r="P36" s="1031"/>
      <c r="Q36" s="1032"/>
    </row>
    <row r="37" spans="1:18">
      <c r="B37" s="1012" t="s">
        <v>187</v>
      </c>
      <c r="C37" s="1029" t="s">
        <v>706</v>
      </c>
      <c r="D37" s="1030"/>
      <c r="E37" s="1030"/>
      <c r="F37" s="1030"/>
      <c r="G37" s="103"/>
      <c r="H37" s="73"/>
      <c r="I37" s="73"/>
      <c r="M37" s="1031"/>
      <c r="N37" s="1032"/>
      <c r="O37" s="1032"/>
      <c r="P37" s="1031"/>
      <c r="Q37" s="1032"/>
    </row>
    <row r="38" spans="1:18">
      <c r="B38" s="1012" t="s">
        <v>188</v>
      </c>
      <c r="C38" s="1025" t="s">
        <v>707</v>
      </c>
      <c r="D38" s="1026"/>
      <c r="E38" s="1026"/>
      <c r="F38" s="1026"/>
      <c r="G38" s="101">
        <v>14</v>
      </c>
      <c r="H38" s="99"/>
      <c r="I38" s="99"/>
      <c r="J38" s="1033" t="s">
        <v>708</v>
      </c>
      <c r="M38" s="1031"/>
      <c r="N38" s="1032"/>
      <c r="O38" s="1032"/>
      <c r="P38" s="1031"/>
      <c r="Q38" s="1032"/>
    </row>
    <row r="39" spans="1:18">
      <c r="B39" s="1012" t="s">
        <v>189</v>
      </c>
      <c r="C39" s="1029" t="s">
        <v>709</v>
      </c>
      <c r="D39" s="1030"/>
      <c r="E39" s="1030"/>
      <c r="F39" s="1030"/>
      <c r="G39" s="103"/>
      <c r="H39" s="73"/>
      <c r="I39" s="73"/>
      <c r="M39" s="1031"/>
      <c r="N39" s="1032"/>
      <c r="O39" s="1032"/>
      <c r="P39" s="1031"/>
      <c r="Q39" s="1032"/>
    </row>
    <row r="40" spans="1:18">
      <c r="B40" s="1012" t="s">
        <v>190</v>
      </c>
      <c r="C40" s="1025" t="s">
        <v>710</v>
      </c>
      <c r="D40" s="1026"/>
      <c r="E40" s="1026"/>
      <c r="F40" s="1026"/>
      <c r="G40" s="101">
        <v>2</v>
      </c>
      <c r="H40" s="99"/>
      <c r="I40" s="99"/>
      <c r="M40" s="1031"/>
      <c r="N40" s="1032"/>
      <c r="O40" s="1032"/>
      <c r="P40" s="1031"/>
      <c r="Q40" s="1032"/>
    </row>
    <row r="41" spans="1:18">
      <c r="B41" s="1012" t="s">
        <v>191</v>
      </c>
      <c r="C41" s="1029" t="s">
        <v>711</v>
      </c>
      <c r="D41" s="1034"/>
      <c r="E41" s="1034"/>
      <c r="F41" s="1030"/>
      <c r="G41" s="104"/>
      <c r="H41" s="105"/>
      <c r="I41" s="105"/>
    </row>
    <row r="42" spans="1:18">
      <c r="B42" s="1012" t="s">
        <v>192</v>
      </c>
      <c r="C42" s="1035" t="s">
        <v>712</v>
      </c>
      <c r="D42" s="1036"/>
      <c r="E42" s="1036"/>
      <c r="F42" s="1036"/>
      <c r="G42" s="106"/>
      <c r="H42" s="107"/>
      <c r="I42" s="107"/>
      <c r="M42" s="1031"/>
      <c r="N42" s="1032"/>
      <c r="O42" s="1032"/>
      <c r="P42" s="1031"/>
      <c r="Q42" s="1032"/>
    </row>
    <row r="43" spans="1:18">
      <c r="B43" s="1012" t="s">
        <v>193</v>
      </c>
      <c r="C43" s="1037" t="s">
        <v>713</v>
      </c>
      <c r="D43" s="1038"/>
      <c r="E43" s="1038"/>
      <c r="F43" s="1038"/>
      <c r="G43" s="122">
        <v>64</v>
      </c>
      <c r="H43" s="123"/>
      <c r="I43" s="123"/>
      <c r="J43" s="1039"/>
      <c r="M43" s="1031"/>
      <c r="N43" s="1032"/>
      <c r="O43" s="1032"/>
      <c r="P43" s="1031"/>
      <c r="Q43" s="1032"/>
    </row>
    <row r="44" spans="1:18" ht="11.25" customHeight="1">
      <c r="B44" s="1040" t="s">
        <v>194</v>
      </c>
      <c r="C44" s="1041" t="s">
        <v>714</v>
      </c>
      <c r="D44" s="1036"/>
      <c r="E44" s="1036"/>
      <c r="F44" s="1036"/>
      <c r="G44" s="1042">
        <f>SUM(G28:G43)</f>
        <v>82</v>
      </c>
      <c r="H44" s="1042">
        <f>SUM(H28:H43)</f>
        <v>0</v>
      </c>
      <c r="I44" s="1042">
        <f>SUM(I28:I43)</f>
        <v>0</v>
      </c>
      <c r="J44" s="1043"/>
      <c r="K44" s="1044"/>
      <c r="L44" s="1044"/>
      <c r="M44" s="1032"/>
      <c r="N44" s="1032"/>
      <c r="O44" s="1032"/>
      <c r="P44" s="1032"/>
      <c r="Q44" s="1032"/>
      <c r="R44" s="1032"/>
    </row>
    <row r="45" spans="1:18" ht="32.25" customHeight="1">
      <c r="A45" s="453" t="s">
        <v>715</v>
      </c>
    </row>
    <row r="46" spans="1:18" ht="15.75" customHeight="1" thickBot="1">
      <c r="C46" s="124" t="s">
        <v>682</v>
      </c>
      <c r="D46" s="1045" t="s">
        <v>683</v>
      </c>
    </row>
    <row r="47" spans="1:18" ht="12.75" customHeight="1" thickBot="1">
      <c r="A47" s="453"/>
      <c r="B47" s="1012" t="s">
        <v>6</v>
      </c>
      <c r="C47" s="68"/>
      <c r="D47" s="68"/>
      <c r="E47" s="1740" t="s">
        <v>716</v>
      </c>
      <c r="F47" s="1409"/>
      <c r="G47" s="1409"/>
      <c r="H47" s="1409"/>
      <c r="I47" s="1409"/>
      <c r="J47" s="1409"/>
      <c r="K47" s="1409"/>
    </row>
    <row r="48" spans="1:18" ht="12" customHeight="1" thickBot="1">
      <c r="A48" s="453"/>
    </row>
    <row r="49" spans="1:16" hidden="1"/>
    <row r="50" spans="1:16" ht="12.6" hidden="1" thickBot="1"/>
    <row r="51" spans="1:16" ht="12.6" thickBot="1">
      <c r="B51" s="1012" t="s">
        <v>9</v>
      </c>
      <c r="C51" s="68"/>
      <c r="E51" s="1409" t="s">
        <v>717</v>
      </c>
      <c r="F51" s="1409"/>
      <c r="G51" s="1409"/>
      <c r="H51" s="1409"/>
      <c r="I51" s="1409"/>
      <c r="J51" s="1409"/>
    </row>
    <row r="53" spans="1:16">
      <c r="B53" s="1012" t="s">
        <v>24</v>
      </c>
      <c r="C53" s="124" t="s">
        <v>718</v>
      </c>
      <c r="K53" s="131"/>
      <c r="L53" s="1046">
        <f>BSA55BLA</f>
        <v>4914.71</v>
      </c>
      <c r="P53" s="1044"/>
    </row>
    <row r="54" spans="1:16">
      <c r="B54" s="1012" t="s">
        <v>51</v>
      </c>
      <c r="C54" s="1047" t="s">
        <v>719</v>
      </c>
      <c r="D54" s="1030"/>
      <c r="E54" s="1030"/>
      <c r="F54" s="1030"/>
      <c r="G54" s="1030"/>
      <c r="H54" s="1030"/>
      <c r="I54" s="1030"/>
      <c r="J54" s="1030"/>
      <c r="K54" s="1048"/>
      <c r="L54" s="73">
        <v>1.0099</v>
      </c>
    </row>
    <row r="55" spans="1:16">
      <c r="B55" s="1012" t="s">
        <v>166</v>
      </c>
      <c r="C55" s="1049" t="s">
        <v>720</v>
      </c>
      <c r="D55" s="1026"/>
      <c r="E55" s="1026"/>
      <c r="F55" s="1026"/>
      <c r="G55" s="1026"/>
      <c r="H55" s="1026"/>
      <c r="I55" s="1026"/>
      <c r="J55" s="1026"/>
      <c r="K55" s="1050"/>
      <c r="L55" s="75">
        <v>9750</v>
      </c>
    </row>
    <row r="56" spans="1:16">
      <c r="B56" s="1012" t="s">
        <v>168</v>
      </c>
      <c r="C56" s="1047" t="s">
        <v>721</v>
      </c>
      <c r="D56" s="1030"/>
      <c r="E56" s="1030"/>
      <c r="F56" s="1030"/>
      <c r="G56" s="1030"/>
      <c r="H56" s="1030"/>
      <c r="I56" s="1030"/>
      <c r="J56" s="1030"/>
      <c r="K56" s="1048"/>
      <c r="L56" s="74"/>
    </row>
    <row r="57" spans="1:16">
      <c r="B57" s="1052" t="s">
        <v>170</v>
      </c>
      <c r="C57" s="1049" t="s">
        <v>722</v>
      </c>
      <c r="D57" s="1026"/>
      <c r="E57" s="1026"/>
      <c r="F57" s="1026"/>
      <c r="G57" s="1026"/>
      <c r="H57" s="1026"/>
      <c r="I57" s="1026"/>
      <c r="J57" s="1026"/>
      <c r="K57" s="1053"/>
      <c r="L57" s="1051">
        <f>L55+L56</f>
        <v>9750</v>
      </c>
    </row>
    <row r="59" spans="1:16" ht="21" customHeight="1">
      <c r="A59" s="1054" t="s">
        <v>723</v>
      </c>
      <c r="C59" s="452"/>
      <c r="M59"/>
      <c r="N59"/>
      <c r="O59"/>
      <c r="P59"/>
    </row>
    <row r="60" spans="1:16" ht="12" customHeight="1">
      <c r="B60" s="1012" t="s">
        <v>6</v>
      </c>
      <c r="C60" s="1025" t="s">
        <v>724</v>
      </c>
      <c r="D60" s="1055"/>
      <c r="E60" s="1055"/>
      <c r="F60" s="1055"/>
      <c r="G60" s="1026"/>
      <c r="H60" s="1026"/>
      <c r="I60" s="1026"/>
      <c r="J60" s="1026"/>
      <c r="K60" s="1050"/>
      <c r="L60" s="70">
        <v>294</v>
      </c>
      <c r="M60"/>
      <c r="N60"/>
      <c r="O60"/>
      <c r="P60"/>
    </row>
    <row r="61" spans="1:16" ht="12" customHeight="1">
      <c r="B61" s="1012" t="s">
        <v>9</v>
      </c>
      <c r="C61" s="1029" t="s">
        <v>725</v>
      </c>
      <c r="D61" s="1057"/>
      <c r="E61" s="1057"/>
      <c r="F61" s="1057"/>
      <c r="G61" s="1030"/>
      <c r="H61" s="1030"/>
      <c r="I61" s="1030"/>
      <c r="J61" s="1030"/>
      <c r="K61" s="1048"/>
      <c r="L61" s="72">
        <v>21</v>
      </c>
      <c r="M61"/>
      <c r="N61"/>
      <c r="O61"/>
      <c r="P61"/>
    </row>
    <row r="62" spans="1:16" ht="12" customHeight="1">
      <c r="B62" s="1012" t="s">
        <v>24</v>
      </c>
      <c r="C62" s="1738" t="s">
        <v>726</v>
      </c>
      <c r="D62" s="1739"/>
      <c r="E62" s="1739"/>
      <c r="F62" s="1739"/>
      <c r="G62" s="1026"/>
      <c r="H62" s="1026"/>
      <c r="I62" s="1026"/>
      <c r="J62" s="1026"/>
      <c r="K62" s="1050"/>
      <c r="L62" s="75"/>
      <c r="M62"/>
      <c r="N62"/>
      <c r="O62"/>
      <c r="P62"/>
    </row>
    <row r="63" spans="1:16" ht="12" customHeight="1">
      <c r="B63" s="1012" t="s">
        <v>51</v>
      </c>
      <c r="C63" s="1029" t="s">
        <v>727</v>
      </c>
      <c r="D63" s="1057"/>
      <c r="E63" s="1057"/>
      <c r="F63" s="1057"/>
      <c r="G63" s="1030"/>
      <c r="H63" s="1030"/>
      <c r="I63" s="1030"/>
      <c r="J63" s="1030"/>
      <c r="K63" s="1048"/>
      <c r="L63" s="74"/>
      <c r="M63"/>
      <c r="N63"/>
      <c r="O63"/>
      <c r="P63"/>
    </row>
    <row r="64" spans="1:16" ht="12" customHeight="1">
      <c r="B64" s="1012" t="s">
        <v>166</v>
      </c>
      <c r="C64" s="1025" t="s">
        <v>728</v>
      </c>
      <c r="D64" s="1055"/>
      <c r="E64" s="1055"/>
      <c r="F64" s="1055"/>
      <c r="G64" s="1055"/>
      <c r="H64" s="1055"/>
      <c r="I64" s="1055"/>
      <c r="J64" s="1055"/>
      <c r="K64" s="1050"/>
      <c r="L64" s="70"/>
      <c r="M64"/>
      <c r="N64"/>
      <c r="O64"/>
      <c r="P64"/>
    </row>
    <row r="65" spans="1:27" ht="12" customHeight="1">
      <c r="B65" s="283" t="s">
        <v>168</v>
      </c>
      <c r="C65" s="1029" t="s">
        <v>729</v>
      </c>
      <c r="D65" s="1057"/>
      <c r="E65" s="1057"/>
      <c r="F65" s="1057"/>
      <c r="G65" s="1030"/>
      <c r="H65" s="1030"/>
      <c r="I65" s="1030"/>
      <c r="J65" s="1030"/>
      <c r="K65" s="1048"/>
      <c r="L65" s="72"/>
      <c r="M65"/>
      <c r="N65"/>
      <c r="O65"/>
      <c r="P65"/>
    </row>
    <row r="66" spans="1:27" ht="14.25" customHeight="1">
      <c r="B66" s="283"/>
      <c r="K66" s="131"/>
      <c r="L66" s="1032"/>
      <c r="M66"/>
      <c r="N66"/>
      <c r="O66"/>
      <c r="P66"/>
    </row>
    <row r="67" spans="1:27" ht="21.75" customHeight="1">
      <c r="A67" s="1058" t="s">
        <v>730</v>
      </c>
      <c r="C67" s="453"/>
    </row>
    <row r="68" spans="1:27">
      <c r="B68" s="1012" t="s">
        <v>6</v>
      </c>
      <c r="C68" s="124" t="s">
        <v>731</v>
      </c>
    </row>
    <row r="69" spans="1:27">
      <c r="B69" s="1059"/>
      <c r="C69" s="1060" t="s">
        <v>639</v>
      </c>
      <c r="D69" s="1061" t="s">
        <v>681</v>
      </c>
      <c r="E69" s="1026"/>
      <c r="F69" s="1026"/>
      <c r="G69" s="1026"/>
      <c r="H69" s="1026"/>
      <c r="I69" s="1050"/>
      <c r="J69" s="1062"/>
      <c r="K69" s="1053"/>
      <c r="L69" s="75"/>
      <c r="M69" s="237"/>
      <c r="N69" s="1063"/>
    </row>
    <row r="70" spans="1:27">
      <c r="B70" s="1059"/>
      <c r="C70" s="124" t="s">
        <v>641</v>
      </c>
      <c r="D70" s="1064" t="s">
        <v>682</v>
      </c>
      <c r="E70" s="1030"/>
      <c r="F70" s="1030"/>
      <c r="G70" s="1030"/>
      <c r="H70" s="1030"/>
      <c r="I70" s="1048"/>
      <c r="J70" s="1065"/>
      <c r="K70" s="1066"/>
      <c r="L70" s="76"/>
      <c r="M70" s="237"/>
      <c r="N70" s="1063"/>
    </row>
    <row r="71" spans="1:27">
      <c r="B71" s="1059"/>
      <c r="C71" s="124" t="s">
        <v>643</v>
      </c>
      <c r="D71" s="1067" t="s">
        <v>683</v>
      </c>
      <c r="E71" s="1026"/>
      <c r="F71" s="1026"/>
      <c r="G71" s="1026"/>
      <c r="H71" s="1026"/>
      <c r="I71" s="1050"/>
      <c r="J71" s="1062"/>
      <c r="K71" s="1053"/>
      <c r="L71" s="77"/>
      <c r="M71" s="237"/>
      <c r="N71" s="1063"/>
    </row>
    <row r="72" spans="1:27" hidden="1">
      <c r="L72" s="13"/>
    </row>
    <row r="73" spans="1:27" hidden="1">
      <c r="L73" s="13"/>
    </row>
    <row r="74" spans="1:27" ht="13.5" customHeight="1">
      <c r="B74" s="1012" t="s">
        <v>9</v>
      </c>
      <c r="C74" s="1374" t="s">
        <v>732</v>
      </c>
      <c r="D74" s="1375"/>
      <c r="E74" s="1375"/>
      <c r="F74" s="1375"/>
      <c r="G74" s="1375"/>
      <c r="H74" s="1375"/>
      <c r="I74" s="1375"/>
      <c r="J74" s="1034"/>
      <c r="K74" s="1376"/>
      <c r="L74" s="74"/>
    </row>
    <row r="75" spans="1:27">
      <c r="B75" s="1012" t="s">
        <v>24</v>
      </c>
      <c r="C75" s="1061" t="s">
        <v>733</v>
      </c>
      <c r="D75" s="1068"/>
      <c r="E75" s="1068"/>
      <c r="F75" s="1068"/>
      <c r="G75" s="1068"/>
      <c r="H75" s="1068"/>
      <c r="I75" s="1068"/>
      <c r="J75" s="1026"/>
      <c r="K75" s="1053"/>
      <c r="L75" s="75"/>
      <c r="N75" s="1063"/>
    </row>
    <row r="76" spans="1:27">
      <c r="B76" s="1069"/>
      <c r="C76" s="132"/>
      <c r="D76" s="132"/>
      <c r="E76" s="132"/>
      <c r="F76" s="132"/>
      <c r="G76" s="132"/>
      <c r="H76" s="132"/>
      <c r="I76" s="132"/>
      <c r="K76" s="131"/>
      <c r="M76" s="235"/>
      <c r="N76" s="1063"/>
    </row>
    <row r="77" spans="1:27" ht="15.75" customHeight="1">
      <c r="B77" s="1070" t="s">
        <v>734</v>
      </c>
      <c r="C77" s="155"/>
      <c r="D77" s="155"/>
      <c r="E77" s="155"/>
      <c r="F77" s="155"/>
      <c r="J77" s="131"/>
      <c r="K77" s="131"/>
      <c r="L77" s="1063"/>
      <c r="M77" s="235"/>
      <c r="N77" s="1063"/>
    </row>
    <row r="78" spans="1:27">
      <c r="B78" s="1071" t="s">
        <v>51</v>
      </c>
      <c r="C78" s="1047" t="s">
        <v>735</v>
      </c>
      <c r="D78" s="1030"/>
      <c r="E78" s="1030"/>
      <c r="F78" s="1030"/>
      <c r="G78" s="1030"/>
      <c r="H78" s="1030"/>
      <c r="I78" s="1030"/>
      <c r="J78" s="1030"/>
      <c r="K78" s="1048"/>
      <c r="L78" s="109">
        <v>51238077</v>
      </c>
      <c r="M78" s="235"/>
      <c r="N78" s="1063"/>
    </row>
    <row r="79" spans="1:27" ht="14.4">
      <c r="B79" s="1012" t="s">
        <v>166</v>
      </c>
      <c r="C79" s="1049" t="s">
        <v>736</v>
      </c>
      <c r="D79" s="1026"/>
      <c r="E79" s="1026"/>
      <c r="F79" s="1026"/>
      <c r="G79" s="1026"/>
      <c r="H79" s="1026"/>
      <c r="I79" s="1026"/>
      <c r="J79" s="1026"/>
      <c r="K79" s="1050"/>
      <c r="L79" s="110"/>
      <c r="M79" s="1758" t="str">
        <f>IF(AND(_PAV2&gt;0,P79&lt;&gt;"X"),"If the amount shown for Primary Assessed Valuation 2 (AV2) on page 6 of the District's most recent BSA 55-1 report from ADE is greater than 0, mark X in cell P77.","")</f>
        <v/>
      </c>
      <c r="N79" s="1759"/>
      <c r="O79" s="1759"/>
      <c r="P79" s="441"/>
      <c r="Q79" s="1072"/>
      <c r="R79" s="1072"/>
      <c r="S79" s="1072"/>
      <c r="T79" s="1072"/>
      <c r="U79" s="1072"/>
      <c r="V79" s="1072"/>
      <c r="W79" s="1072"/>
      <c r="X79" s="1072"/>
      <c r="Y79" s="1072"/>
      <c r="Z79" s="1072"/>
      <c r="AA79" s="1072"/>
    </row>
    <row r="80" spans="1:27">
      <c r="B80" s="1071" t="s">
        <v>168</v>
      </c>
      <c r="C80" s="1047" t="s">
        <v>737</v>
      </c>
      <c r="D80" s="1030"/>
      <c r="E80" s="1030"/>
      <c r="F80" s="1030"/>
      <c r="G80" s="1030"/>
      <c r="H80" s="1030"/>
      <c r="I80" s="1030"/>
      <c r="J80" s="1030"/>
      <c r="K80" s="1048"/>
      <c r="L80" s="109"/>
      <c r="M80" s="1758"/>
      <c r="N80" s="1759"/>
      <c r="O80" s="1759"/>
    </row>
    <row r="81" spans="2:15">
      <c r="B81" s="1071" t="s">
        <v>170</v>
      </c>
      <c r="C81" s="1049" t="s">
        <v>738</v>
      </c>
      <c r="D81" s="1026"/>
      <c r="E81" s="1026"/>
      <c r="F81" s="1026"/>
      <c r="G81" s="1026"/>
      <c r="H81" s="1026"/>
      <c r="I81" s="1026"/>
      <c r="J81" s="1026"/>
      <c r="K81" s="1050"/>
      <c r="L81" s="110"/>
      <c r="M81" s="1758"/>
      <c r="N81" s="1759"/>
      <c r="O81" s="1759"/>
    </row>
    <row r="82" spans="2:15" ht="12" customHeight="1">
      <c r="B82" s="283"/>
      <c r="K82" s="131"/>
      <c r="L82" s="425"/>
      <c r="M82" s="235"/>
      <c r="N82" s="1063"/>
    </row>
    <row r="83" spans="2:15" ht="15.75" customHeight="1">
      <c r="B83" s="1070" t="s">
        <v>739</v>
      </c>
      <c r="C83" s="155"/>
      <c r="D83" s="155"/>
      <c r="E83" s="155"/>
      <c r="F83" s="155"/>
      <c r="G83" s="155"/>
      <c r="K83" s="131"/>
      <c r="L83" s="425"/>
      <c r="M83" s="235"/>
      <c r="N83" s="1063"/>
    </row>
    <row r="84" spans="2:15">
      <c r="B84" s="1012" t="s">
        <v>172</v>
      </c>
      <c r="C84" s="1047" t="s">
        <v>740</v>
      </c>
      <c r="D84" s="1030"/>
      <c r="E84" s="1030"/>
      <c r="F84" s="1030"/>
      <c r="G84" s="1030"/>
      <c r="H84" s="1030"/>
      <c r="I84" s="1030"/>
      <c r="J84" s="1030"/>
      <c r="K84" s="1048"/>
      <c r="L84" s="74"/>
      <c r="M84" s="235"/>
      <c r="N84" s="1063"/>
    </row>
    <row r="85" spans="2:15">
      <c r="B85" s="1012" t="s">
        <v>174</v>
      </c>
      <c r="C85" s="1049" t="s">
        <v>741</v>
      </c>
      <c r="D85" s="1026"/>
      <c r="E85" s="1026"/>
      <c r="F85" s="1026"/>
      <c r="G85" s="1026"/>
      <c r="H85" s="1026"/>
      <c r="I85" s="1026"/>
      <c r="J85" s="1026"/>
      <c r="K85" s="1053"/>
      <c r="L85" s="75">
        <v>1900000</v>
      </c>
      <c r="M85" s="235"/>
      <c r="N85" s="1063"/>
    </row>
    <row r="86" spans="2:15">
      <c r="B86" s="1071" t="s">
        <v>176</v>
      </c>
      <c r="C86" s="1073" t="s">
        <v>742</v>
      </c>
      <c r="D86" s="1074"/>
      <c r="E86" s="1074"/>
      <c r="F86" s="1074"/>
      <c r="G86" s="1074"/>
      <c r="H86" s="1074"/>
      <c r="I86" s="1074"/>
      <c r="J86" s="1074"/>
      <c r="K86" s="1075"/>
      <c r="L86" s="1065"/>
      <c r="M86" s="235"/>
      <c r="N86" s="1063"/>
    </row>
    <row r="87" spans="2:15">
      <c r="C87" s="131" t="s">
        <v>639</v>
      </c>
      <c r="D87" s="1049" t="s">
        <v>743</v>
      </c>
      <c r="E87" s="1026"/>
      <c r="F87" s="1026"/>
      <c r="G87" s="1026"/>
      <c r="H87" s="1026"/>
      <c r="I87" s="1026"/>
      <c r="J87" s="1026"/>
      <c r="K87" s="1050"/>
      <c r="L87" s="75"/>
      <c r="M87" s="237"/>
      <c r="N87" s="1063"/>
    </row>
    <row r="88" spans="2:15">
      <c r="C88" s="131" t="s">
        <v>641</v>
      </c>
      <c r="D88" s="1047" t="s">
        <v>744</v>
      </c>
      <c r="E88" s="1030"/>
      <c r="F88" s="1030"/>
      <c r="G88" s="1030"/>
      <c r="H88" s="1030"/>
      <c r="I88" s="1030"/>
      <c r="J88" s="1030"/>
      <c r="K88" s="1048"/>
      <c r="L88" s="74"/>
      <c r="M88" s="237"/>
      <c r="N88" s="1063"/>
    </row>
    <row r="89" spans="2:15">
      <c r="B89" s="283"/>
      <c r="C89" s="131" t="s">
        <v>643</v>
      </c>
      <c r="D89" s="1049" t="s">
        <v>745</v>
      </c>
      <c r="E89" s="1026"/>
      <c r="F89" s="1026"/>
      <c r="G89" s="1026"/>
      <c r="H89" s="1026"/>
      <c r="I89" s="1026"/>
      <c r="J89" s="1026"/>
      <c r="K89" s="1050"/>
      <c r="L89" s="75"/>
      <c r="M89" s="237"/>
      <c r="N89" s="1063"/>
    </row>
    <row r="90" spans="2:15">
      <c r="B90" s="283"/>
      <c r="C90" s="131" t="s">
        <v>746</v>
      </c>
      <c r="D90" s="1047" t="s">
        <v>747</v>
      </c>
      <c r="E90" s="1030"/>
      <c r="F90" s="1030"/>
      <c r="G90" s="1030"/>
      <c r="H90" s="1030"/>
      <c r="I90" s="1030"/>
      <c r="J90" s="1030"/>
      <c r="K90" s="1048"/>
      <c r="L90" s="74"/>
      <c r="M90" s="237"/>
      <c r="N90" s="1063"/>
    </row>
    <row r="91" spans="2:15">
      <c r="B91" s="283"/>
      <c r="C91" s="131" t="s">
        <v>748</v>
      </c>
      <c r="D91" s="1049" t="s">
        <v>749</v>
      </c>
      <c r="E91" s="1026"/>
      <c r="F91" s="1026"/>
      <c r="G91" s="1026"/>
      <c r="H91" s="1026"/>
      <c r="I91" s="1026"/>
      <c r="J91" s="1026"/>
      <c r="K91" s="1050"/>
      <c r="L91" s="75"/>
      <c r="M91" s="237"/>
      <c r="N91" s="1063"/>
    </row>
    <row r="92" spans="2:15">
      <c r="B92" s="283"/>
      <c r="C92" s="1076" t="s">
        <v>750</v>
      </c>
      <c r="D92" s="1077" t="s">
        <v>751</v>
      </c>
      <c r="E92" s="1078"/>
      <c r="F92" s="1078"/>
      <c r="G92" s="1078"/>
      <c r="H92" s="1078"/>
      <c r="I92" s="1078"/>
      <c r="J92" s="1078"/>
      <c r="K92" s="1079"/>
      <c r="L92" s="90"/>
      <c r="M92" s="237"/>
      <c r="N92" s="1063"/>
    </row>
    <row r="93" spans="2:15">
      <c r="B93" s="1071" t="s">
        <v>178</v>
      </c>
      <c r="C93" s="1049" t="s">
        <v>752</v>
      </c>
      <c r="D93" s="1026"/>
      <c r="E93" s="1026"/>
      <c r="F93" s="1026"/>
      <c r="G93" s="1026"/>
      <c r="H93" s="1026"/>
      <c r="I93" s="1026"/>
      <c r="J93" s="1026"/>
      <c r="K93" s="1050"/>
      <c r="L93" s="75"/>
      <c r="M93" s="235"/>
      <c r="N93" s="1063"/>
    </row>
    <row r="94" spans="2:15" ht="12.75" customHeight="1">
      <c r="B94" s="283"/>
      <c r="K94" s="131"/>
      <c r="L94" s="1063"/>
      <c r="M94" s="235"/>
      <c r="N94" s="1063"/>
    </row>
    <row r="95" spans="2:15" ht="15.75" customHeight="1">
      <c r="B95" s="1080" t="s">
        <v>753</v>
      </c>
      <c r="C95" s="155"/>
      <c r="D95" s="155"/>
      <c r="E95" s="155"/>
      <c r="F95" s="155"/>
      <c r="G95" s="155"/>
      <c r="H95" s="155"/>
      <c r="K95" s="131"/>
      <c r="L95" s="1063"/>
      <c r="M95" s="235"/>
      <c r="N95" s="1063"/>
    </row>
    <row r="96" spans="2:15">
      <c r="B96" s="1012" t="s">
        <v>180</v>
      </c>
      <c r="C96" s="1047" t="s">
        <v>754</v>
      </c>
      <c r="D96" s="1030"/>
      <c r="E96" s="1030"/>
      <c r="F96" s="1030"/>
      <c r="G96" s="1030"/>
      <c r="H96" s="1030"/>
      <c r="I96" s="1030"/>
      <c r="J96" s="1030"/>
      <c r="K96" s="1066"/>
      <c r="L96" s="74"/>
      <c r="M96" s="235"/>
      <c r="N96" s="1063"/>
    </row>
    <row r="97" spans="2:17" ht="22.5" customHeight="1">
      <c r="B97" s="1071" t="s">
        <v>182</v>
      </c>
      <c r="C97" s="1751" t="s">
        <v>755</v>
      </c>
      <c r="D97" s="1752"/>
      <c r="E97" s="1752"/>
      <c r="F97" s="1752"/>
      <c r="G97" s="1752"/>
      <c r="H97" s="1752"/>
      <c r="I97" s="1752"/>
      <c r="J97" s="1752"/>
      <c r="K97" s="1053"/>
      <c r="L97" s="75"/>
      <c r="M97" s="235"/>
      <c r="N97" s="1063"/>
    </row>
    <row r="98" spans="2:17" ht="11.25" customHeight="1">
      <c r="B98" s="1012" t="s">
        <v>184</v>
      </c>
      <c r="C98" s="1755" t="s">
        <v>756</v>
      </c>
      <c r="D98" s="1756"/>
      <c r="E98" s="1756"/>
      <c r="F98" s="1756"/>
      <c r="G98" s="1756"/>
      <c r="H98" s="1756"/>
      <c r="I98" s="1756"/>
      <c r="J98" s="1756"/>
      <c r="K98" s="1066"/>
      <c r="L98" s="74"/>
      <c r="M98" s="235"/>
      <c r="O98" s="1063" t="s">
        <v>757</v>
      </c>
      <c r="Q98" s="1051">
        <f>Calculations!O122</f>
        <v>0</v>
      </c>
    </row>
    <row r="99" spans="2:17" ht="11.25" customHeight="1">
      <c r="B99" s="1012" t="s">
        <v>186</v>
      </c>
      <c r="C99" s="1025" t="s">
        <v>758</v>
      </c>
      <c r="D99" s="1055"/>
      <c r="E99" s="1055"/>
      <c r="F99" s="1055"/>
      <c r="G99" s="1055"/>
      <c r="H99" s="1055"/>
      <c r="I99" s="1055"/>
      <c r="J99" s="1055"/>
      <c r="K99" s="1053"/>
      <c r="L99" s="75"/>
      <c r="M99" s="235"/>
      <c r="N99" s="1063"/>
    </row>
    <row r="100" spans="2:17" ht="11.25" customHeight="1">
      <c r="B100" s="1071" t="s">
        <v>187</v>
      </c>
      <c r="C100" s="1047" t="s">
        <v>759</v>
      </c>
      <c r="D100" s="1082"/>
      <c r="E100" s="1082"/>
      <c r="F100" s="1082"/>
      <c r="G100" s="1082"/>
      <c r="H100" s="1082"/>
      <c r="I100" s="1082"/>
      <c r="J100" s="1082"/>
      <c r="K100" s="1066"/>
      <c r="L100" s="74"/>
      <c r="M100" s="235"/>
      <c r="N100" s="1063"/>
    </row>
    <row r="101" spans="2:17" ht="11.25" customHeight="1">
      <c r="B101" s="1071"/>
      <c r="D101" s="253"/>
      <c r="E101" s="253"/>
      <c r="F101" s="253"/>
      <c r="G101" s="253"/>
      <c r="H101" s="253"/>
      <c r="I101" s="253"/>
      <c r="J101" s="253"/>
      <c r="K101" s="131"/>
      <c r="L101" s="1063"/>
      <c r="M101" s="235"/>
      <c r="N101" s="1063"/>
    </row>
    <row r="102" spans="2:17" s="155" customFormat="1" ht="15.75" customHeight="1" thickBot="1">
      <c r="B102" s="1080" t="s">
        <v>760</v>
      </c>
      <c r="D102" s="490"/>
      <c r="E102" s="490"/>
      <c r="F102" s="490"/>
      <c r="G102" s="490"/>
      <c r="H102" s="490"/>
      <c r="I102" s="490"/>
      <c r="J102" s="490"/>
      <c r="K102" s="1083"/>
      <c r="L102" s="1084"/>
      <c r="M102" s="1085"/>
      <c r="N102" s="1084"/>
    </row>
    <row r="103" spans="2:17" ht="11.25" customHeight="1" thickBot="1">
      <c r="B103" s="1012" t="s">
        <v>188</v>
      </c>
      <c r="C103" s="69"/>
      <c r="D103" s="253"/>
      <c r="E103" s="1598" t="s">
        <v>761</v>
      </c>
      <c r="F103" s="1598"/>
      <c r="G103" s="1598"/>
      <c r="H103" s="1598"/>
      <c r="I103" s="1598"/>
      <c r="J103" s="1598"/>
      <c r="K103" s="1762" t="str">
        <f>IF(AND(SSAPhaseDownCheckbox="X",SSAFYExceeded=""),"COMPLETE LINE 18 BELOW"," ")</f>
        <v/>
      </c>
      <c r="L103" s="1762"/>
      <c r="M103" s="235"/>
      <c r="N103" s="1063"/>
    </row>
    <row r="104" spans="2:17" ht="24" customHeight="1">
      <c r="B104" s="1071"/>
      <c r="D104" s="253"/>
      <c r="E104" s="1598"/>
      <c r="F104" s="1598"/>
      <c r="G104" s="1598"/>
      <c r="H104" s="1598"/>
      <c r="I104" s="1598"/>
      <c r="J104" s="1598"/>
      <c r="K104" s="1762"/>
      <c r="L104" s="1762"/>
      <c r="M104" s="235"/>
      <c r="N104" s="1063"/>
    </row>
    <row r="105" spans="2:17" ht="11.25" customHeight="1">
      <c r="B105" s="1071"/>
      <c r="D105" s="253"/>
      <c r="E105" s="132"/>
      <c r="F105" s="253"/>
      <c r="G105" s="253"/>
      <c r="H105" s="253"/>
      <c r="I105" s="253"/>
      <c r="J105" s="253"/>
      <c r="K105" s="131"/>
      <c r="L105" s="1063"/>
      <c r="M105" s="235"/>
      <c r="N105" s="1063"/>
    </row>
    <row r="106" spans="2:17" ht="11.25" customHeight="1">
      <c r="B106" s="1012" t="s">
        <v>189</v>
      </c>
      <c r="C106" s="1760" t="s">
        <v>762</v>
      </c>
      <c r="D106" s="1761"/>
      <c r="E106" s="1761"/>
      <c r="F106" s="1761"/>
      <c r="G106" s="1761"/>
      <c r="H106" s="1761"/>
      <c r="I106" s="1761"/>
      <c r="J106" s="1761"/>
      <c r="K106" s="1053" t="s">
        <v>3</v>
      </c>
      <c r="L106" s="87"/>
      <c r="M106" s="235"/>
      <c r="N106" s="1063"/>
    </row>
    <row r="107" spans="2:17" ht="23.25" customHeight="1">
      <c r="B107" s="1071" t="s">
        <v>190</v>
      </c>
      <c r="C107" s="1755" t="s">
        <v>763</v>
      </c>
      <c r="D107" s="1756"/>
      <c r="E107" s="1756"/>
      <c r="F107" s="1756"/>
      <c r="G107" s="1756"/>
      <c r="H107" s="1756"/>
      <c r="I107" s="1756"/>
      <c r="J107" s="1756"/>
      <c r="K107" s="1066"/>
      <c r="L107" s="76"/>
      <c r="M107" s="235"/>
      <c r="N107" s="1063"/>
    </row>
    <row r="108" spans="2:17" ht="11.25" customHeight="1">
      <c r="B108" s="1071"/>
      <c r="C108" s="253"/>
      <c r="D108" s="253"/>
      <c r="E108" s="253"/>
      <c r="F108" s="253"/>
      <c r="G108" s="253"/>
      <c r="H108" s="253"/>
      <c r="I108" s="253"/>
      <c r="J108" s="253"/>
      <c r="K108" s="131"/>
      <c r="L108" s="1063"/>
      <c r="M108" s="235"/>
      <c r="N108" s="1063"/>
    </row>
    <row r="109" spans="2:17" ht="15.75" customHeight="1">
      <c r="B109" s="1080" t="s">
        <v>764</v>
      </c>
      <c r="C109" s="253"/>
      <c r="D109" s="253"/>
      <c r="E109" s="253"/>
      <c r="F109" s="253"/>
      <c r="G109" s="253"/>
      <c r="H109" s="253"/>
      <c r="I109" s="253"/>
      <c r="J109" s="253"/>
      <c r="K109" s="131"/>
      <c r="L109" s="1063"/>
      <c r="M109" s="235"/>
      <c r="N109" s="1063"/>
    </row>
    <row r="110" spans="2:17" ht="36" customHeight="1">
      <c r="B110" s="1080"/>
      <c r="C110" s="1598" t="s">
        <v>765</v>
      </c>
      <c r="D110" s="1765"/>
      <c r="E110" s="1765"/>
      <c r="F110" s="1765"/>
      <c r="G110" s="1765"/>
      <c r="H110" s="1765"/>
      <c r="I110" s="1765"/>
      <c r="J110" s="1765"/>
      <c r="K110" s="131"/>
      <c r="L110" s="1063"/>
      <c r="M110" s="235"/>
      <c r="N110" s="1063"/>
    </row>
    <row r="111" spans="2:17" ht="10.5" customHeight="1">
      <c r="B111" s="1080"/>
      <c r="C111" s="253"/>
      <c r="D111" s="253"/>
      <c r="E111" s="253"/>
      <c r="F111" s="253"/>
      <c r="G111" s="253"/>
      <c r="H111" s="253"/>
      <c r="I111" s="253"/>
      <c r="J111" s="253"/>
      <c r="K111" s="131"/>
      <c r="L111" s="1063"/>
      <c r="M111" s="235"/>
      <c r="N111" s="1063"/>
    </row>
    <row r="112" spans="2:17" ht="11.25" customHeight="1">
      <c r="B112" s="1071" t="s">
        <v>191</v>
      </c>
      <c r="C112" s="1049" t="s">
        <v>766</v>
      </c>
      <c r="D112" s="1081"/>
      <c r="E112" s="1068"/>
      <c r="F112" s="1081"/>
      <c r="G112" s="1081"/>
      <c r="H112" s="1081"/>
      <c r="I112" s="1081"/>
      <c r="J112" s="1081"/>
      <c r="K112" s="1053" t="s">
        <v>3</v>
      </c>
      <c r="L112" s="88"/>
      <c r="M112" s="235"/>
      <c r="N112" s="1063"/>
    </row>
    <row r="113" spans="1:15" ht="11.25" customHeight="1">
      <c r="B113" s="1071" t="s">
        <v>192</v>
      </c>
      <c r="C113" s="1047" t="s">
        <v>767</v>
      </c>
      <c r="D113" s="1082"/>
      <c r="E113" s="1086"/>
      <c r="F113" s="1082"/>
      <c r="G113" s="1082"/>
      <c r="H113" s="1082"/>
      <c r="I113" s="1082"/>
      <c r="J113" s="1082"/>
      <c r="K113" s="1066"/>
      <c r="L113" s="72"/>
      <c r="M113" s="235"/>
      <c r="N113" s="1063"/>
    </row>
    <row r="114" spans="1:15" ht="23.25" customHeight="1">
      <c r="B114" s="1071" t="s">
        <v>193</v>
      </c>
      <c r="C114" s="1760" t="s">
        <v>768</v>
      </c>
      <c r="D114" s="1761"/>
      <c r="E114" s="1761"/>
      <c r="F114" s="1761"/>
      <c r="G114" s="1761"/>
      <c r="H114" s="1761"/>
      <c r="I114" s="1761"/>
      <c r="J114" s="1761"/>
      <c r="K114" s="1053"/>
      <c r="L114" s="89"/>
      <c r="M114" s="235"/>
      <c r="N114" s="1063"/>
    </row>
    <row r="115" spans="1:15" ht="11.25" customHeight="1">
      <c r="B115" s="1071" t="s">
        <v>194</v>
      </c>
      <c r="C115" s="1047" t="s">
        <v>769</v>
      </c>
      <c r="D115" s="1082"/>
      <c r="E115" s="1086"/>
      <c r="F115" s="1082"/>
      <c r="G115" s="1082"/>
      <c r="H115" s="1082"/>
      <c r="I115" s="1082"/>
      <c r="J115" s="1082"/>
      <c r="K115" s="1066"/>
      <c r="L115" s="74"/>
      <c r="M115" s="235"/>
      <c r="N115" s="1063"/>
    </row>
    <row r="116" spans="1:15" ht="11.25" customHeight="1" thickBot="1">
      <c r="B116" s="1071" t="s">
        <v>196</v>
      </c>
      <c r="C116" s="1049" t="s">
        <v>770</v>
      </c>
      <c r="D116" s="1081"/>
      <c r="E116" s="1068"/>
      <c r="F116" s="1081"/>
      <c r="G116" s="1081"/>
      <c r="H116" s="1081"/>
      <c r="I116" s="1081"/>
      <c r="J116" s="1081"/>
      <c r="K116" s="1053"/>
      <c r="L116" s="75"/>
      <c r="M116" s="235"/>
      <c r="N116" s="1063"/>
    </row>
    <row r="117" spans="1:15" ht="4.5" hidden="1" customHeight="1">
      <c r="B117" s="283"/>
      <c r="D117" s="253"/>
      <c r="E117" s="132"/>
      <c r="F117" s="253"/>
      <c r="G117" s="253"/>
      <c r="H117" s="253"/>
      <c r="I117" s="253"/>
      <c r="J117" s="253"/>
      <c r="K117" s="131"/>
      <c r="L117" s="1063"/>
      <c r="M117" s="235"/>
      <c r="N117" s="1063"/>
    </row>
    <row r="118" spans="1:15" ht="11.25" customHeight="1" thickBot="1">
      <c r="B118" s="1088" t="s">
        <v>198</v>
      </c>
      <c r="C118" s="69"/>
      <c r="D118" s="253"/>
      <c r="E118" s="1763" t="s">
        <v>771</v>
      </c>
      <c r="F118" s="1763"/>
      <c r="G118" s="1763"/>
      <c r="H118" s="1763"/>
      <c r="I118" s="1763"/>
      <c r="J118" s="1089"/>
      <c r="K118" s="1075"/>
      <c r="L118" s="1090"/>
      <c r="M118" s="235"/>
      <c r="N118" s="1063"/>
    </row>
    <row r="119" spans="1:15" ht="15.75" customHeight="1">
      <c r="D119" s="253"/>
      <c r="E119" s="1764"/>
      <c r="F119" s="1764"/>
      <c r="G119" s="1764"/>
      <c r="H119" s="1764"/>
      <c r="I119" s="1764"/>
      <c r="J119" s="1089"/>
      <c r="K119" s="1075"/>
      <c r="L119" s="1090"/>
      <c r="M119" s="235"/>
      <c r="N119" s="1063"/>
    </row>
    <row r="120" spans="1:15" ht="11.25" customHeight="1">
      <c r="B120" s="1071" t="s">
        <v>201</v>
      </c>
      <c r="C120" s="1049" t="s">
        <v>772</v>
      </c>
      <c r="D120" s="1081"/>
      <c r="E120" s="1068"/>
      <c r="F120" s="1081"/>
      <c r="G120" s="1081"/>
      <c r="H120" s="1081"/>
      <c r="I120" s="1081"/>
      <c r="J120" s="1081"/>
      <c r="K120" s="1053"/>
      <c r="L120" s="89"/>
      <c r="M120" s="235"/>
      <c r="N120" s="1063"/>
    </row>
    <row r="121" spans="1:15" ht="11.25" customHeight="1">
      <c r="B121" s="1071" t="s">
        <v>203</v>
      </c>
      <c r="C121" s="1047" t="s">
        <v>773</v>
      </c>
      <c r="D121" s="1082"/>
      <c r="E121" s="1086"/>
      <c r="F121" s="1082"/>
      <c r="G121" s="1082"/>
      <c r="H121" s="1082"/>
      <c r="I121" s="1082"/>
      <c r="J121" s="1082"/>
      <c r="K121" s="1066"/>
      <c r="L121" s="71"/>
      <c r="M121" s="235"/>
      <c r="N121" s="1063"/>
    </row>
    <row r="122" spans="1:15" ht="11.25" customHeight="1">
      <c r="B122" s="1071"/>
      <c r="D122" s="253"/>
      <c r="E122" s="132"/>
      <c r="F122" s="253"/>
      <c r="G122" s="253"/>
      <c r="H122" s="253"/>
      <c r="I122" s="253"/>
      <c r="J122" s="253"/>
      <c r="K122" s="131"/>
      <c r="L122" s="1063"/>
      <c r="M122" s="235"/>
      <c r="N122" s="1063"/>
    </row>
    <row r="123" spans="1:15" ht="21.75" customHeight="1">
      <c r="A123" s="1058" t="s">
        <v>774</v>
      </c>
    </row>
    <row r="124" spans="1:15" ht="24" customHeight="1">
      <c r="B124" s="1071" t="s">
        <v>6</v>
      </c>
      <c r="C124" s="1760" t="s">
        <v>775</v>
      </c>
      <c r="D124" s="1761"/>
      <c r="E124" s="1761"/>
      <c r="F124" s="1761"/>
      <c r="G124" s="1761"/>
      <c r="H124" s="1761"/>
      <c r="I124" s="1761"/>
      <c r="J124" s="1761"/>
      <c r="K124" s="1766"/>
      <c r="L124" s="99"/>
      <c r="O124" s="157"/>
    </row>
    <row r="126" spans="1:15" ht="21.75" customHeight="1" thickBot="1">
      <c r="A126" s="1058" t="s">
        <v>776</v>
      </c>
      <c r="C126" s="453"/>
    </row>
    <row r="127" spans="1:15" ht="12" customHeight="1" thickBot="1">
      <c r="A127" s="453"/>
      <c r="B127" s="1012" t="s">
        <v>6</v>
      </c>
      <c r="C127" s="69"/>
      <c r="E127" s="155" t="s">
        <v>777</v>
      </c>
    </row>
    <row r="128" spans="1:15" ht="34.5" customHeight="1">
      <c r="A128" s="453"/>
      <c r="B128" s="1091"/>
      <c r="C128" s="1750" t="s">
        <v>778</v>
      </c>
      <c r="D128" s="1750"/>
      <c r="E128" s="1750"/>
      <c r="F128" s="1750"/>
      <c r="G128" s="1750"/>
      <c r="H128" s="1750"/>
      <c r="I128" s="1750"/>
      <c r="J128" s="1750"/>
      <c r="K128" s="1750"/>
    </row>
    <row r="129" spans="1:12" ht="12" customHeight="1">
      <c r="A129" s="453"/>
      <c r="B129" s="1012" t="s">
        <v>9</v>
      </c>
      <c r="C129" s="1049" t="s">
        <v>779</v>
      </c>
      <c r="D129" s="1030"/>
      <c r="E129" s="1057"/>
      <c r="F129" s="1030"/>
      <c r="G129" s="1030"/>
      <c r="H129" s="1030"/>
      <c r="I129" s="1030"/>
      <c r="J129" s="1030"/>
      <c r="K129" s="1066"/>
      <c r="L129" s="74"/>
    </row>
    <row r="130" spans="1:12">
      <c r="B130" s="586" t="s">
        <v>24</v>
      </c>
      <c r="C130" s="1049" t="s">
        <v>780</v>
      </c>
      <c r="D130" s="1026"/>
      <c r="E130" s="1026"/>
      <c r="F130" s="1026"/>
      <c r="G130" s="1026"/>
      <c r="H130" s="1026"/>
      <c r="I130" s="1026"/>
      <c r="J130" s="1026"/>
      <c r="K130" s="1053"/>
      <c r="L130" s="77"/>
    </row>
    <row r="131" spans="1:12">
      <c r="B131" s="283" t="s">
        <v>51</v>
      </c>
      <c r="C131" s="1047" t="s">
        <v>781</v>
      </c>
      <c r="D131" s="1030"/>
      <c r="E131" s="1030"/>
      <c r="F131" s="1030"/>
      <c r="G131" s="1030"/>
      <c r="H131" s="1030"/>
      <c r="I131" s="1030"/>
      <c r="J131" s="1030"/>
      <c r="K131" s="1066" t="s">
        <v>451</v>
      </c>
      <c r="L131" s="74"/>
    </row>
  </sheetData>
  <sheetProtection sheet="1" formatCells="0" formatColumns="0" formatRows="0"/>
  <mergeCells count="28">
    <mergeCell ref="C128:K128"/>
    <mergeCell ref="C97:J97"/>
    <mergeCell ref="K19:M23"/>
    <mergeCell ref="C98:J98"/>
    <mergeCell ref="B25:E25"/>
    <mergeCell ref="C107:J107"/>
    <mergeCell ref="E103:J104"/>
    <mergeCell ref="M79:O81"/>
    <mergeCell ref="C106:J106"/>
    <mergeCell ref="K103:L104"/>
    <mergeCell ref="E118:I119"/>
    <mergeCell ref="C114:J114"/>
    <mergeCell ref="C110:J110"/>
    <mergeCell ref="C124:K124"/>
    <mergeCell ref="A1:D1"/>
    <mergeCell ref="I1:J1"/>
    <mergeCell ref="C62:F62"/>
    <mergeCell ref="E1:G1"/>
    <mergeCell ref="B14:K14"/>
    <mergeCell ref="C16:E16"/>
    <mergeCell ref="E47:K47"/>
    <mergeCell ref="E51:J51"/>
    <mergeCell ref="F3:I3"/>
    <mergeCell ref="K16:N17"/>
    <mergeCell ref="L5:M11"/>
    <mergeCell ref="C17:E17"/>
    <mergeCell ref="L15:O15"/>
    <mergeCell ref="C10:I10"/>
  </mergeCells>
  <conditionalFormatting sqref="I19">
    <cfRule type="expression" dxfId="2" priority="4" stopIfTrue="1">
      <formula>OR(#REF!&lt;&gt;"",#REF!&lt;&gt;"")</formula>
    </cfRule>
  </conditionalFormatting>
  <conditionalFormatting sqref="I20">
    <cfRule type="expression" dxfId="1" priority="5" stopIfTrue="1">
      <formula>OR(#REF!&lt;&gt;"",#REF!&lt;&gt;"")</formula>
    </cfRule>
  </conditionalFormatting>
  <conditionalFormatting sqref="I21">
    <cfRule type="expression" dxfId="0" priority="6" stopIfTrue="1">
      <formula>OR(#REF!&lt;&gt;"",#REF!&lt;&gt;"")</formula>
    </cfRule>
  </conditionalFormatting>
  <dataValidations xWindow="786" yWindow="800" count="8">
    <dataValidation type="list" allowBlank="1" showInputMessage="1" showErrorMessage="1" sqref="P79 C51 C47:D47 C103 C118 C127 P15">
      <formula1>"X"</formula1>
    </dataValidation>
    <dataValidation allowBlank="1" showInputMessage="1" showErrorMessage="1" prompt="If negative, enter amount in parentheses." sqref="L87:L92 L84:L85"/>
    <dataValidation type="whole" allowBlank="1" showInputMessage="1" showErrorMessage="1" errorTitle="Check date entry" error="Fiscal Year must be entered as a four-digit number." prompt="Enter a four-digit fiscal year." sqref="L106 L112">
      <formula1>1912</formula1>
      <formula2>2100</formula2>
    </dataValidation>
    <dataValidation allowBlank="1" sqref="L93:L94 L129"/>
    <dataValidation allowBlank="1" showInputMessage="1" showErrorMessage="1" prompt="Enter the FULL assessed valuation." sqref="L80:L82"/>
    <dataValidation allowBlank="1" showInputMessage="1" showErrorMessage="1" promptTitle="ALERT" prompt="This situation is very rare. _x000a_Enter the full NET assessed valuation ONLY AFTER VERIFYING that the District shows an amount for Primary Assessed Valuation 2 (AV2) on Page 6 of its most recent APOR55-1 report from ADE._x000a_" sqref="L79"/>
    <dataValidation allowBlank="1" showInputMessage="1" showErrorMessage="1" prompt="Enter the full NET assessed valuation." sqref="L78"/>
    <dataValidation type="custom" allowBlank="1" showInputMessage="1" showErrorMessage="1" errorTitle="Amount should be negative" error="Amount will be negative, please use parentheses or minus sign to enter the reduction." prompt="Leave blank for budget adoption. Enter amount in parentheses." sqref="L74">
      <formula1>L74&lt;0</formula1>
    </dataValidation>
  </dataValidations>
  <hyperlinks>
    <hyperlink ref="B28" location="DataEntryUSCSCAl7" display="7."/>
    <hyperlink ref="B47" location="DataEntryOtherBSLBRCLAdjl1" display="1."/>
    <hyperlink ref="B51" location="DataEntryOtherBSLBRCLAdjl3" display="3."/>
    <hyperlink ref="B54" location="DataEntryOtherBSLBRCLAdjl5" display="5."/>
    <hyperlink ref="B55" location="DataEntryOtherBSLBRCLAdjl6" display="6."/>
    <hyperlink ref="B62:B63" location="DataEntryTransl3" display="3."/>
    <hyperlink ref="B64" location="DataEntryTransl5" display="5."/>
    <hyperlink ref="B68" location="DataEntryOtherInfol1" display="1."/>
    <hyperlink ref="B79" location="DataEntryOtherInfol5" display="5."/>
    <hyperlink ref="B84" location="DataEntryOtherInfol8" display="8."/>
    <hyperlink ref="B85" location="DataEntryOtherInfol9" display="9."/>
    <hyperlink ref="C92" location="DataEntryOtherInfo10f" display="f."/>
    <hyperlink ref="B129" location="DataEntryType01Infol2" display="2."/>
    <hyperlink ref="B75" location="DataEntryOtherInfol3" display="3."/>
    <hyperlink ref="B96" location="DataEntryOtherInfol12" display="12."/>
    <hyperlink ref="B98" location="DataEntryOtherInfol14" display="14."/>
    <hyperlink ref="B99" location="DataEntryOtherInfol15" display="15."/>
    <hyperlink ref="B103" location="DataEntryOtherInfol17" display="17."/>
    <hyperlink ref="B106" location="DataEntryOtherInfol18" display="18."/>
    <hyperlink ref="B16" location="DataEntryUSCl1" display="1."/>
    <hyperlink ref="B17" location="DataEntryUSCl2" display="2. "/>
    <hyperlink ref="B19:B21" location="DataEntryUSCl345" display="3."/>
    <hyperlink ref="B25:E25" location="DataEntryUSCSCAl720" display="STUDENT COUNT ADD-ONS"/>
    <hyperlink ref="B32" location="DataEntryUSCSCAl11" display="11."/>
    <hyperlink ref="B33" location="DataEntryUSCSCAl12" display="12."/>
    <hyperlink ref="B38" location="DataEntryUSCSCAl17" display="17."/>
    <hyperlink ref="B53" location="DataEntryOtherBSLBRCLAdjl4" display="4."/>
    <hyperlink ref="B56" location="DataEntryOtherBSLBRCLAdjl7" display="7."/>
    <hyperlink ref="B60:B61" location="DataEntryTransl1" display="1."/>
    <hyperlink ref="B30" location="DataEntryUSCSCAl9" display="9."/>
    <hyperlink ref="B31" location="DataEntryUSCSCAl10" display="10."/>
    <hyperlink ref="B34" location="DataEntryUSCSCAl13" display="13."/>
    <hyperlink ref="B35" location="DataEntryUSCSCAl14" display="14."/>
    <hyperlink ref="B36" location="DataEntryUSCSCAl15" display="15."/>
    <hyperlink ref="B37" location="DataEntryUSCSCAl16" display="16."/>
    <hyperlink ref="B39" location="DataEntryUSCSCAl18" display="18."/>
    <hyperlink ref="B40" location="DataEntryUSCSCAl19" display="19."/>
    <hyperlink ref="B41" location="DataEntryUSCSCAl20" display="20."/>
    <hyperlink ref="B127" location="DataEntryType01Infol1" display="1."/>
    <hyperlink ref="B29" location="DataEntryUSCSCAl7" display="8."/>
    <hyperlink ref="C69" location="DataEntryOtherInfol1Continued" display="a."/>
    <hyperlink ref="B74" location="DataEntryOtherInfol2" display="2."/>
    <hyperlink ref="B42" location="DataEntryUSCSCAl21" display="21."/>
    <hyperlink ref="B43" location="DataEntryUSCSCAl23" display="23."/>
  </hyperlinks>
  <printOptions horizontalCentered="1"/>
  <pageMargins left="0.2" right="0.2" top="0.25" bottom="0.25" header="0.5" footer="0.25"/>
  <pageSetup paperSize="5" scale="73" orientation="portrait" r:id="rId1"/>
  <headerFooter>
    <oddFooter>&amp;L&amp;"Times New Roman,Bold"Rev. 5/23 Arizona Department of Education and Auditor General&amp;R&amp;"Times New Roman,Bold"Page &amp;P of &amp;N</oddFooter>
  </headerFooter>
  <rowBreaks count="1" manualBreakCount="1">
    <brk id="94" max="12" man="1"/>
  </rowBreaks>
  <colBreaks count="1" manualBreakCount="1">
    <brk id="17" max="1048575" man="1"/>
  </colBreaks>
  <drawing r:id="rId2"/>
</worksheet>
</file>

<file path=xl/worksheets/sheet16.xml><?xml version="1.0" encoding="utf-8"?>
<worksheet xmlns="http://schemas.openxmlformats.org/spreadsheetml/2006/main" xmlns:r="http://schemas.openxmlformats.org/officeDocument/2006/relationships">
  <dimension ref="A1:Z240"/>
  <sheetViews>
    <sheetView showGridLines="0" topLeftCell="A10" workbookViewId="0">
      <selection activeCell="E1" sqref="E1:G1"/>
    </sheetView>
  </sheetViews>
  <sheetFormatPr defaultColWidth="9.08984375" defaultRowHeight="12"/>
  <cols>
    <col min="1" max="1" width="2.453125" style="124" bestFit="1" customWidth="1"/>
    <col min="2" max="2" width="2" style="124" customWidth="1"/>
    <col min="3" max="3" width="2.90625" style="124" customWidth="1"/>
    <col min="4" max="4" width="2" style="124" customWidth="1"/>
    <col min="5" max="5" width="6.453125" style="124" customWidth="1"/>
    <col min="6" max="6" width="10.90625" style="124" customWidth="1"/>
    <col min="7" max="7" width="9.08984375" style="124" customWidth="1"/>
    <col min="8" max="8" width="9.90625" style="124" customWidth="1"/>
    <col min="9" max="9" width="9.08984375" style="124" customWidth="1"/>
    <col min="10" max="10" width="7" style="124" customWidth="1"/>
    <col min="11" max="11" width="1.08984375" style="124" customWidth="1"/>
    <col min="12" max="12" width="9.08984375" style="124" customWidth="1"/>
    <col min="13" max="14" width="1.08984375" style="124" customWidth="1"/>
    <col min="15" max="15" width="9.90625" style="124" customWidth="1"/>
    <col min="16" max="17" width="1.08984375" style="124" customWidth="1"/>
    <col min="18" max="18" width="10" style="124" customWidth="1"/>
    <col min="19" max="19" width="9.08984375" style="124" customWidth="1"/>
    <col min="20" max="20" width="6.08984375" style="124" customWidth="1"/>
    <col min="21" max="22" width="9.08984375" style="124" customWidth="1"/>
    <col min="23" max="23" width="6" style="124" customWidth="1"/>
    <col min="24" max="24" width="10.1796875" style="124" customWidth="1"/>
    <col min="25" max="25" width="9.6328125" style="124" bestFit="1" customWidth="1"/>
    <col min="26" max="26" width="9.08984375" style="124" customWidth="1"/>
    <col min="27" max="27" width="6" style="124" customWidth="1"/>
    <col min="28" max="30" width="9.08984375" style="124" customWidth="1"/>
    <col min="31" max="31" width="6" style="124" customWidth="1"/>
    <col min="32" max="33" width="9.08984375" style="124" customWidth="1"/>
    <col min="34" max="16384" width="9.08984375" style="124"/>
  </cols>
  <sheetData>
    <row r="1" spans="1:17" ht="15.75" customHeight="1">
      <c r="A1" s="1735" t="s">
        <v>669</v>
      </c>
      <c r="B1" s="1735"/>
      <c r="C1" s="1735"/>
      <c r="D1" s="1735"/>
      <c r="E1" s="1736" t="str">
        <f>Cover!C1</f>
        <v>Valley Union High School District</v>
      </c>
      <c r="F1" s="1736"/>
      <c r="G1" s="1736"/>
      <c r="H1" s="614" t="s">
        <v>670</v>
      </c>
      <c r="I1" s="1736" t="str">
        <f>Cover!H1</f>
        <v>Cochise</v>
      </c>
      <c r="J1" s="1736"/>
      <c r="K1" s="1736"/>
      <c r="L1" s="1735" t="s">
        <v>671</v>
      </c>
      <c r="M1" s="1735"/>
      <c r="N1" s="1735"/>
      <c r="O1" s="1092" t="str">
        <f>CTD</f>
        <v>020522000</v>
      </c>
      <c r="P1" s="287"/>
      <c r="Q1" s="287"/>
    </row>
    <row r="2" spans="1:17">
      <c r="N2" s="614" t="s">
        <v>18</v>
      </c>
      <c r="O2" s="1092" t="str">
        <f>Cover!C8</f>
        <v>Proposed</v>
      </c>
    </row>
    <row r="3" spans="1:17" ht="1.5" customHeight="1">
      <c r="N3" s="614"/>
      <c r="O3" s="1093"/>
    </row>
    <row r="4" spans="1:17" ht="15.75" customHeight="1">
      <c r="F4" s="1446" t="s">
        <v>782</v>
      </c>
      <c r="G4" s="1446"/>
      <c r="H4" s="1446"/>
      <c r="I4" s="1446"/>
      <c r="N4" s="614"/>
      <c r="O4" s="1093"/>
    </row>
    <row r="5" spans="1:17" ht="2.25" customHeight="1">
      <c r="N5" s="614"/>
      <c r="O5" s="1093"/>
    </row>
    <row r="6" spans="1:17" ht="8.25" hidden="1" customHeight="1">
      <c r="N6" s="614"/>
      <c r="O6" s="1093"/>
    </row>
    <row r="7" spans="1:17" ht="14.25" customHeight="1"/>
    <row r="8" spans="1:17" ht="15.6">
      <c r="A8" s="1094" t="s">
        <v>783</v>
      </c>
      <c r="B8" s="453"/>
      <c r="C8" s="453"/>
      <c r="D8" s="453"/>
      <c r="E8" s="453"/>
      <c r="F8" s="453"/>
      <c r="G8" s="453"/>
      <c r="I8" s="1095"/>
    </row>
    <row r="9" spans="1:17" ht="15.75" customHeight="1">
      <c r="A9" s="453"/>
      <c r="B9" s="453"/>
      <c r="C9" s="453"/>
      <c r="D9" s="453"/>
      <c r="E9" s="453"/>
      <c r="F9" s="453"/>
      <c r="G9" s="1096"/>
      <c r="H9" s="1784" t="s">
        <v>784</v>
      </c>
      <c r="I9" s="1785"/>
      <c r="J9" s="1784" t="s">
        <v>785</v>
      </c>
      <c r="K9" s="1788"/>
      <c r="L9" s="1785"/>
      <c r="M9" s="1097"/>
    </row>
    <row r="10" spans="1:17" ht="15.6">
      <c r="B10" s="127"/>
      <c r="C10" s="453"/>
      <c r="E10" s="453"/>
      <c r="F10" s="453"/>
      <c r="G10" s="1096"/>
      <c r="H10" s="1786"/>
      <c r="I10" s="1787"/>
      <c r="J10" s="1786"/>
      <c r="K10" s="1789"/>
      <c r="L10" s="1787"/>
      <c r="M10" s="1097"/>
    </row>
    <row r="11" spans="1:17" ht="15.75" customHeight="1">
      <c r="A11" s="484"/>
      <c r="B11" s="484"/>
      <c r="C11" s="484"/>
      <c r="D11" s="484"/>
      <c r="E11" s="484"/>
      <c r="F11" s="484"/>
      <c r="G11" s="1098"/>
      <c r="H11" s="1099" t="s">
        <v>682</v>
      </c>
      <c r="I11" s="1100" t="s">
        <v>683</v>
      </c>
      <c r="J11" s="1792" t="s">
        <v>682</v>
      </c>
      <c r="K11" s="1793"/>
      <c r="L11" s="1100" t="s">
        <v>683</v>
      </c>
      <c r="M11" s="1101"/>
    </row>
    <row r="12" spans="1:17">
      <c r="A12" s="1102" t="s">
        <v>786</v>
      </c>
      <c r="B12" s="473"/>
      <c r="C12" s="473"/>
      <c r="D12" s="473"/>
      <c r="E12" s="473"/>
      <c r="F12" s="473"/>
      <c r="G12" s="1103"/>
      <c r="H12" s="1104"/>
      <c r="I12" s="1104"/>
      <c r="J12" s="1794"/>
      <c r="K12" s="1795"/>
      <c r="L12" s="1104"/>
      <c r="M12" s="1039"/>
    </row>
    <row r="13" spans="1:17" ht="12.6" thickBot="1">
      <c r="A13" s="1105"/>
      <c r="B13" s="1106" t="s">
        <v>787</v>
      </c>
      <c r="C13" s="1106"/>
      <c r="D13" s="1106"/>
      <c r="E13" s="1106"/>
      <c r="F13" s="1106"/>
      <c r="G13" s="1107"/>
      <c r="H13" s="1108">
        <v>1.5589999999999999</v>
      </c>
      <c r="I13" s="1108">
        <v>1.669</v>
      </c>
      <c r="J13" s="1796">
        <v>1.399</v>
      </c>
      <c r="K13" s="1797"/>
      <c r="L13" s="1108">
        <v>1.5589999999999999</v>
      </c>
      <c r="M13" s="1039"/>
    </row>
    <row r="14" spans="1:17">
      <c r="A14" s="1039" t="s">
        <v>788</v>
      </c>
      <c r="H14" s="1109"/>
      <c r="I14" s="1110"/>
      <c r="J14" s="1773"/>
      <c r="K14" s="1774"/>
      <c r="L14" s="1112"/>
    </row>
    <row r="15" spans="1:17">
      <c r="A15" s="1039"/>
      <c r="B15" s="124" t="s">
        <v>789</v>
      </c>
      <c r="H15" s="1113">
        <v>500</v>
      </c>
      <c r="I15" s="1114">
        <v>500</v>
      </c>
      <c r="J15" s="1798">
        <v>500</v>
      </c>
      <c r="K15" s="1799"/>
      <c r="L15" s="1115">
        <v>500</v>
      </c>
      <c r="M15" s="1116"/>
    </row>
    <row r="16" spans="1:17">
      <c r="A16" s="1039"/>
      <c r="B16" s="124" t="s">
        <v>790</v>
      </c>
      <c r="G16" s="131" t="s">
        <v>791</v>
      </c>
      <c r="H16" s="1117">
        <f>IF(AND(UnweightedStudCntK8CY&gt;=100,UnweightedStudCntK8CY&lt;500,SmallIsolatedPSD8Checkbox="X"),UnweightedStudCntK8CY,0)</f>
        <v>0</v>
      </c>
      <c r="I16" s="1117">
        <f>IF(AND(UnweightedStudCnt912CY&gt;=100,UnweightedStudCnt912CY&lt;500,SmallIsolated912Checkbox="X"),UnweightedStudCnt912CY,0)</f>
        <v>0</v>
      </c>
      <c r="J16" s="1767">
        <f>IF(AND(UnweightedStudCntK8CY&gt;=100,UnweightedStudCntK8CY&lt;500,SmallIsolatedPSD8Checkbox&lt;&gt;"X"),UnweightedStudCntK8CY,0)</f>
        <v>0</v>
      </c>
      <c r="K16" s="1768"/>
      <c r="L16" s="1118">
        <f>IF(AND(UnweightedStudCnt912CY&gt;=100,UnweightedStudCnt912CY&lt;500,SmallIsolated912Checkbox&lt;&gt;"X"),UnweightedStudCnt912CY,0)</f>
        <v>0</v>
      </c>
      <c r="M16" s="1116"/>
    </row>
    <row r="17" spans="1:13">
      <c r="A17" s="1039"/>
      <c r="B17" s="124" t="s">
        <v>792</v>
      </c>
      <c r="G17" s="131" t="s">
        <v>793</v>
      </c>
      <c r="H17" s="1117">
        <f>IF(H16&gt;0,H15-H16,0)</f>
        <v>0</v>
      </c>
      <c r="I17" s="1117">
        <f>IF(I16&gt;0,I15-I16,0)</f>
        <v>0</v>
      </c>
      <c r="J17" s="1767">
        <f>IF(J16&gt;0,J15-J16,0)</f>
        <v>0</v>
      </c>
      <c r="K17" s="1768"/>
      <c r="L17" s="1115">
        <f>IF(L16&gt;0,L15-L16,0)</f>
        <v>0</v>
      </c>
      <c r="M17" s="1116"/>
    </row>
    <row r="18" spans="1:13">
      <c r="A18" s="1039"/>
      <c r="B18" s="124" t="s">
        <v>794</v>
      </c>
      <c r="G18" s="131" t="s">
        <v>795</v>
      </c>
      <c r="H18" s="1117">
        <v>5.0000000000000001E-4</v>
      </c>
      <c r="I18" s="1117">
        <v>5.0000000000000001E-4</v>
      </c>
      <c r="J18" s="1767">
        <v>2.9999999999999997E-4</v>
      </c>
      <c r="K18" s="1768"/>
      <c r="L18" s="1114">
        <v>4.0000000000000002E-4</v>
      </c>
      <c r="M18" s="986"/>
    </row>
    <row r="19" spans="1:13">
      <c r="A19" s="1039"/>
      <c r="B19" s="124" t="s">
        <v>796</v>
      </c>
      <c r="G19" s="131" t="s">
        <v>793</v>
      </c>
      <c r="H19" s="1117">
        <f>H17*H18</f>
        <v>0</v>
      </c>
      <c r="I19" s="1117">
        <f>I17*I18</f>
        <v>0</v>
      </c>
      <c r="J19" s="1767">
        <f>J17*J18</f>
        <v>0</v>
      </c>
      <c r="K19" s="1768"/>
      <c r="L19" s="1118">
        <f>L17*L18</f>
        <v>0</v>
      </c>
      <c r="M19" s="1116"/>
    </row>
    <row r="20" spans="1:13">
      <c r="A20" s="1039"/>
      <c r="B20" s="124" t="s">
        <v>787</v>
      </c>
      <c r="G20" s="131" t="s">
        <v>797</v>
      </c>
      <c r="H20" s="1119">
        <v>1.3580000000000001</v>
      </c>
      <c r="I20" s="1119">
        <v>1.468</v>
      </c>
      <c r="J20" s="1790">
        <v>1.278</v>
      </c>
      <c r="K20" s="1791"/>
      <c r="L20" s="1120">
        <v>1.3979999999999999</v>
      </c>
      <c r="M20" s="1116"/>
    </row>
    <row r="21" spans="1:13" ht="12.6" thickBot="1">
      <c r="A21" s="1039"/>
      <c r="C21" s="124" t="s">
        <v>798</v>
      </c>
      <c r="G21" s="131" t="s">
        <v>793</v>
      </c>
      <c r="H21" s="1121">
        <f>IF(H16&gt;0,H19+H20,0)</f>
        <v>0</v>
      </c>
      <c r="I21" s="1121">
        <f>IF(I16&gt;0,I19+I20,0)</f>
        <v>0</v>
      </c>
      <c r="J21" s="1771">
        <f>IF(J16&gt;0,J19+J20,0)</f>
        <v>0</v>
      </c>
      <c r="K21" s="1772"/>
      <c r="L21" s="1122">
        <f>IF(L16&gt;0,L19+L20,0)</f>
        <v>0</v>
      </c>
      <c r="M21" s="1116"/>
    </row>
    <row r="22" spans="1:13">
      <c r="A22" s="1039" t="s">
        <v>799</v>
      </c>
      <c r="H22" s="1109"/>
      <c r="I22" s="1110"/>
      <c r="J22" s="1773"/>
      <c r="K22" s="1774"/>
      <c r="L22" s="1112"/>
    </row>
    <row r="23" spans="1:13">
      <c r="A23" s="1039"/>
      <c r="B23" s="124" t="s">
        <v>789</v>
      </c>
      <c r="H23" s="1123">
        <v>600</v>
      </c>
      <c r="I23" s="1124">
        <v>600</v>
      </c>
      <c r="J23" s="1775">
        <v>600</v>
      </c>
      <c r="K23" s="1776"/>
      <c r="L23" s="1125">
        <v>600</v>
      </c>
      <c r="M23" s="1116"/>
    </row>
    <row r="24" spans="1:13">
      <c r="A24" s="1039"/>
      <c r="B24" s="124" t="s">
        <v>800</v>
      </c>
      <c r="G24" s="131" t="s">
        <v>791</v>
      </c>
      <c r="H24" s="1015">
        <f>IF(AND(UnweightedStudCntK8CY&gt;=500,UnweightedStudCntK8CY&lt;600,SmallIsolatedPSD8Checkbox="X"),UnweightedStudCntK8CY,0)</f>
        <v>0</v>
      </c>
      <c r="I24" s="1015">
        <f>IF(AND(UnweightedStudCnt912CY&gt;=500,UnweightedStudCnt912CY&lt;600,SmallIsolated912Checkbox="X"),UnweightedStudCnt912CY,0)</f>
        <v>0</v>
      </c>
      <c r="J24" s="1775">
        <f>IF(AND(UnweightedStudCntK8CY&gt;=500,UnweightedStudCntK8CY&lt;600,SmallIsolatedPSD8Checkbox&lt;&gt;"X"),UnweightedStudCntK8CY,0)</f>
        <v>0</v>
      </c>
      <c r="K24" s="1776"/>
      <c r="L24" s="1016">
        <f>IF(AND(UnweightedStudCnt912CY&gt;=500,UnweightedStudCnt912CY&lt;600,SmallIsolated912Checkbox&lt;&gt;"X"),UnweightedStudCnt912CY,0)</f>
        <v>0</v>
      </c>
      <c r="M24" s="1116"/>
    </row>
    <row r="25" spans="1:13">
      <c r="A25" s="1039"/>
      <c r="B25" s="124" t="s">
        <v>792</v>
      </c>
      <c r="G25" s="131" t="s">
        <v>793</v>
      </c>
      <c r="H25" s="1015">
        <f>IF(H24&gt;0,H23-H24,0)</f>
        <v>0</v>
      </c>
      <c r="I25" s="1015">
        <f>IF(I24&gt;0,I23-I24,0)</f>
        <v>0</v>
      </c>
      <c r="J25" s="1775">
        <f>IF(J24&gt;0,J23-J24,0)</f>
        <v>0</v>
      </c>
      <c r="K25" s="1776"/>
      <c r="L25" s="1016">
        <f>IF(L24&gt;0,L23-L24,0)</f>
        <v>0</v>
      </c>
      <c r="M25" s="1116"/>
    </row>
    <row r="26" spans="1:13">
      <c r="A26" s="1039"/>
      <c r="B26" s="124" t="s">
        <v>794</v>
      </c>
      <c r="G26" s="131" t="s">
        <v>795</v>
      </c>
      <c r="H26" s="1015">
        <v>2E-3</v>
      </c>
      <c r="I26" s="1015">
        <v>2E-3</v>
      </c>
      <c r="J26" s="1775">
        <v>1.1999999999999999E-3</v>
      </c>
      <c r="K26" s="1776"/>
      <c r="L26" s="1016">
        <v>1.2999999999999999E-3</v>
      </c>
      <c r="M26" s="986"/>
    </row>
    <row r="27" spans="1:13">
      <c r="A27" s="1039"/>
      <c r="B27" s="124" t="s">
        <v>796</v>
      </c>
      <c r="G27" s="131" t="s">
        <v>793</v>
      </c>
      <c r="H27" s="1015">
        <f>H25*H26</f>
        <v>0</v>
      </c>
      <c r="I27" s="1015">
        <f>I25*I26</f>
        <v>0</v>
      </c>
      <c r="J27" s="1775">
        <f>J25*J26</f>
        <v>0</v>
      </c>
      <c r="K27" s="1776"/>
      <c r="L27" s="1016">
        <f>L25*L26</f>
        <v>0</v>
      </c>
      <c r="M27" s="1116"/>
    </row>
    <row r="28" spans="1:13">
      <c r="A28" s="1039"/>
      <c r="B28" s="124" t="s">
        <v>787</v>
      </c>
      <c r="G28" s="131" t="s">
        <v>797</v>
      </c>
      <c r="H28" s="1119">
        <v>1.1579999999999999</v>
      </c>
      <c r="I28" s="1119">
        <v>1.268</v>
      </c>
      <c r="J28" s="1790">
        <v>1.1579999999999999</v>
      </c>
      <c r="K28" s="1791"/>
      <c r="L28" s="1120">
        <v>1.268</v>
      </c>
      <c r="M28" s="1116"/>
    </row>
    <row r="29" spans="1:13" ht="12.6" thickBot="1">
      <c r="A29" s="1039"/>
      <c r="C29" s="124" t="s">
        <v>798</v>
      </c>
      <c r="G29" s="1111" t="s">
        <v>793</v>
      </c>
      <c r="H29" s="1121">
        <f>IF(H24&gt;0,H27+H28,0)</f>
        <v>0</v>
      </c>
      <c r="I29" s="1121">
        <f>IF(I24&gt;0,I27+I28,0)</f>
        <v>0</v>
      </c>
      <c r="J29" s="1771">
        <f>IF(J24&gt;0,J27+J28,0)</f>
        <v>0</v>
      </c>
      <c r="K29" s="1772"/>
      <c r="L29" s="1122">
        <f>IF(L24&gt;0,L27+L28,0)</f>
        <v>0</v>
      </c>
      <c r="M29" s="1116"/>
    </row>
    <row r="30" spans="1:13">
      <c r="A30" s="1039" t="s">
        <v>801</v>
      </c>
      <c r="H30" s="1126"/>
      <c r="I30" s="1127"/>
      <c r="J30" s="1506"/>
      <c r="K30" s="1774"/>
      <c r="L30" s="1112"/>
    </row>
    <row r="31" spans="1:13" ht="12.6" thickBot="1">
      <c r="A31" s="1128"/>
      <c r="B31" s="1129" t="s">
        <v>787</v>
      </c>
      <c r="C31" s="1129"/>
      <c r="D31" s="1129"/>
      <c r="E31" s="1129"/>
      <c r="F31" s="1129"/>
      <c r="G31" s="1129"/>
      <c r="H31" s="1130"/>
      <c r="I31" s="1131"/>
      <c r="J31" s="1800">
        <v>1.1579999999999999</v>
      </c>
      <c r="K31" s="1801"/>
      <c r="L31" s="1132">
        <v>1.268</v>
      </c>
      <c r="M31" s="1116"/>
    </row>
    <row r="32" spans="1:13">
      <c r="A32" s="1039" t="s">
        <v>802</v>
      </c>
      <c r="H32" s="1133"/>
      <c r="I32" s="1127"/>
      <c r="J32" s="1769"/>
      <c r="K32" s="1770"/>
      <c r="L32" s="1112"/>
    </row>
    <row r="33" spans="1:22" ht="12.6" thickBot="1">
      <c r="A33" s="1128"/>
      <c r="B33" s="1129" t="s">
        <v>803</v>
      </c>
      <c r="C33" s="1129"/>
      <c r="D33" s="1129"/>
      <c r="E33" s="1129"/>
      <c r="F33" s="1129"/>
      <c r="G33" s="1129"/>
      <c r="H33" s="1130"/>
      <c r="I33" s="1131"/>
      <c r="J33" s="1777"/>
      <c r="K33" s="1778"/>
      <c r="L33" s="1132">
        <v>1.339</v>
      </c>
      <c r="M33" s="1116"/>
      <c r="T33" s="1410" t="s">
        <v>804</v>
      </c>
      <c r="U33" s="1410"/>
      <c r="V33" s="1410"/>
    </row>
    <row r="34" spans="1:22">
      <c r="U34" s="1010" t="s">
        <v>698</v>
      </c>
      <c r="V34" s="1010" t="s">
        <v>805</v>
      </c>
    </row>
    <row r="35" spans="1:22">
      <c r="B35" s="283"/>
      <c r="C35" s="132"/>
      <c r="D35" s="132"/>
      <c r="E35" s="132"/>
      <c r="F35" s="132"/>
      <c r="G35" s="1031"/>
      <c r="H35" s="1031"/>
      <c r="I35" s="1031"/>
      <c r="L35" s="1134"/>
      <c r="O35" s="1135"/>
      <c r="P35" s="1135"/>
      <c r="Q35" s="1135"/>
      <c r="R35" s="1135"/>
      <c r="S35" s="1135"/>
      <c r="T35" s="124" t="s">
        <v>806</v>
      </c>
      <c r="U35" s="1016">
        <f>NonAOIStudCntK3*K3SLW</f>
        <v>0</v>
      </c>
      <c r="V35" s="1016">
        <f>NonAOIStudCntK3R*K3RSLW</f>
        <v>0</v>
      </c>
    </row>
    <row r="36" spans="1:22" ht="12" customHeight="1">
      <c r="T36" s="124" t="s">
        <v>807</v>
      </c>
      <c r="U36" s="1016">
        <f>AOIFTStudCntK3*K3SLW*AOIFTFundFactor</f>
        <v>0</v>
      </c>
      <c r="V36" s="1016">
        <f>AOIFTStudCntK3R*K3RSLW*AOIFTFundFactor</f>
        <v>0</v>
      </c>
    </row>
    <row r="37" spans="1:22" ht="14.25" customHeight="1">
      <c r="A37" s="1094" t="s">
        <v>808</v>
      </c>
      <c r="T37" s="124" t="s">
        <v>809</v>
      </c>
      <c r="U37" s="1016">
        <f>AOIPTStudCntK3*K3SLW*AOIPTFundFactor</f>
        <v>0</v>
      </c>
      <c r="V37" s="1016">
        <f>AOIPTStudCntK3R*K3RSLW*AOIPTFundFactor</f>
        <v>0</v>
      </c>
    </row>
    <row r="38" spans="1:22">
      <c r="B38" s="283" t="s">
        <v>6</v>
      </c>
      <c r="C38" s="124" t="s">
        <v>810</v>
      </c>
      <c r="L38" s="124" t="s">
        <v>698</v>
      </c>
      <c r="N38" s="1136" t="s">
        <v>451</v>
      </c>
      <c r="O38" s="1137">
        <f>ROUND(U38*BSA55BLA*BSA55TEI,2)</f>
        <v>0</v>
      </c>
      <c r="T38" s="124" t="s">
        <v>616</v>
      </c>
      <c r="U38" s="1016">
        <f>U35+U36+U37</f>
        <v>0</v>
      </c>
      <c r="V38" s="1016">
        <f>V35+V36+V37</f>
        <v>0</v>
      </c>
    </row>
    <row r="39" spans="1:22">
      <c r="B39" s="283"/>
      <c r="L39" s="124" t="s">
        <v>697</v>
      </c>
      <c r="N39" s="1136" t="s">
        <v>451</v>
      </c>
      <c r="O39" s="1137">
        <f>ROUND(V38*BSA55BLA*BSA55TEI,2)</f>
        <v>0</v>
      </c>
      <c r="T39" s="1510" t="s">
        <v>811</v>
      </c>
      <c r="U39" s="1510"/>
      <c r="V39" s="1510"/>
    </row>
    <row r="40" spans="1:22">
      <c r="B40" s="283"/>
      <c r="Q40" s="131"/>
      <c r="R40" s="1063"/>
      <c r="T40" s="1510"/>
      <c r="U40" s="1510"/>
      <c r="V40" s="1510"/>
    </row>
    <row r="41" spans="1:22" ht="12" customHeight="1">
      <c r="B41" s="283" t="s">
        <v>9</v>
      </c>
      <c r="C41" s="124" t="s">
        <v>812</v>
      </c>
      <c r="N41" s="1136" t="s">
        <v>451</v>
      </c>
      <c r="O41" s="1137">
        <f>IF(OR(EqualAssistPSD8=0,EqualAssist912=0),IF((0.5*(QLPSD8+_QL912))-EqualBasePSD8-EqualBase912&gt;0,0.5*(QLPSD8+_QL912)-EqualBasePSD8-EqualBase912,0),0)</f>
        <v>0</v>
      </c>
    </row>
    <row r="42" spans="1:22">
      <c r="Q42" s="131"/>
      <c r="R42" s="1063"/>
    </row>
    <row r="43" spans="1:22" ht="2.25" customHeight="1">
      <c r="R43" s="1138"/>
    </row>
    <row r="44" spans="1:22" ht="12" hidden="1" customHeight="1">
      <c r="A44" s="1139"/>
      <c r="B44" s="1139"/>
      <c r="C44" s="1139"/>
      <c r="D44" s="1139"/>
      <c r="E44" s="1139"/>
      <c r="F44" s="1139"/>
      <c r="G44" s="1139"/>
      <c r="H44" s="1139"/>
      <c r="I44" s="1139"/>
      <c r="J44" s="1139"/>
      <c r="K44" s="1139"/>
      <c r="L44" s="1139"/>
      <c r="M44" s="1139"/>
      <c r="N44" s="1139"/>
      <c r="O44" s="1139"/>
      <c r="P44" s="1139"/>
      <c r="Q44" s="1139"/>
    </row>
    <row r="45" spans="1:22" ht="12" hidden="1" customHeight="1"/>
    <row r="46" spans="1:22" ht="12" hidden="1" customHeight="1"/>
    <row r="47" spans="1:22" ht="12" customHeight="1"/>
    <row r="48" spans="1:22" ht="15.6">
      <c r="A48" s="1094" t="s">
        <v>813</v>
      </c>
      <c r="C48" s="453"/>
      <c r="D48" s="453"/>
    </row>
    <row r="49" spans="1:16" ht="18" customHeight="1">
      <c r="A49" s="453"/>
      <c r="B49" s="453"/>
      <c r="C49" s="453"/>
      <c r="D49" s="453"/>
      <c r="F49" s="152" t="s">
        <v>814</v>
      </c>
    </row>
    <row r="50" spans="1:16" ht="15.6">
      <c r="A50" s="453"/>
      <c r="B50" s="453"/>
      <c r="C50" s="453"/>
      <c r="D50" s="453"/>
      <c r="L50" s="990" t="s">
        <v>682</v>
      </c>
      <c r="O50" s="1092" t="s">
        <v>683</v>
      </c>
      <c r="P50" s="287"/>
    </row>
    <row r="51" spans="1:16">
      <c r="B51" s="1040" t="s">
        <v>6</v>
      </c>
      <c r="C51" s="124" t="s">
        <v>815</v>
      </c>
    </row>
    <row r="52" spans="1:16" ht="12.6" thickBot="1">
      <c r="B52" s="275"/>
      <c r="F52" s="124" t="s">
        <v>816</v>
      </c>
      <c r="K52" s="1140" t="s">
        <v>451</v>
      </c>
      <c r="L52" s="1141">
        <v>663.81</v>
      </c>
      <c r="N52" s="1140" t="s">
        <v>451</v>
      </c>
      <c r="O52" s="1141">
        <v>732.87</v>
      </c>
    </row>
    <row r="53" spans="1:16" ht="6.75" customHeight="1" thickTop="1">
      <c r="B53" s="275"/>
    </row>
    <row r="54" spans="1:16">
      <c r="B54" s="1040" t="s">
        <v>9</v>
      </c>
      <c r="C54" s="124" t="s">
        <v>817</v>
      </c>
    </row>
    <row r="55" spans="1:16">
      <c r="B55" s="275"/>
      <c r="C55" s="131" t="s">
        <v>639</v>
      </c>
      <c r="D55" s="124" t="s">
        <v>789</v>
      </c>
      <c r="K55" s="1049"/>
      <c r="L55" s="1142">
        <v>500</v>
      </c>
      <c r="N55" s="1049"/>
      <c r="O55" s="1142">
        <v>500</v>
      </c>
    </row>
    <row r="56" spans="1:16">
      <c r="B56" s="275"/>
      <c r="C56" s="131" t="s">
        <v>641</v>
      </c>
      <c r="D56" s="124" t="s">
        <v>800</v>
      </c>
      <c r="J56" s="131" t="s">
        <v>791</v>
      </c>
      <c r="K56" s="1143"/>
      <c r="L56" s="1142">
        <f>IF(AND(100&lt;='Data Entry'!H17,'Data Entry'!H17&lt;500),'Data Entry'!H17,0)</f>
        <v>0</v>
      </c>
      <c r="M56" s="131" t="s">
        <v>791</v>
      </c>
      <c r="N56" s="1049"/>
      <c r="O56" s="1142">
        <f>IF(AND(VALUE(LEFT(RIGHT(O1,7),2))=3,(UnweightedStudCnt912PY+HSCountDORtoDOA)&gt;=100,(UnweightedStudCnt912PY+HSCountDORtoDOA)&lt;500),(UnweightedStudCnt912PY+HSCountDORtoDOA),IF(AND(UnweightedStudCnt912PY&gt;=100,UnweightedStudCnt912PY&lt;500),UnweightedStudCnt912PY,0))</f>
        <v>0</v>
      </c>
    </row>
    <row r="57" spans="1:16">
      <c r="B57" s="275"/>
      <c r="C57" s="131" t="s">
        <v>643</v>
      </c>
      <c r="D57" s="124" t="s">
        <v>792</v>
      </c>
      <c r="J57" s="131" t="s">
        <v>793</v>
      </c>
      <c r="K57" s="1143"/>
      <c r="L57" s="1142">
        <f>IF(L56&gt;0,L55-L56,0)</f>
        <v>0</v>
      </c>
      <c r="M57" s="131" t="s">
        <v>793</v>
      </c>
      <c r="N57" s="1049"/>
      <c r="O57" s="1142">
        <f>IF(O56&gt;0,O55-O56,0)</f>
        <v>0</v>
      </c>
    </row>
    <row r="58" spans="1:16">
      <c r="B58" s="275"/>
      <c r="C58" s="131" t="s">
        <v>746</v>
      </c>
      <c r="D58" s="124" t="s">
        <v>794</v>
      </c>
      <c r="J58" s="131" t="s">
        <v>795</v>
      </c>
      <c r="K58" s="1143"/>
      <c r="L58" s="1142">
        <v>2.9999999999999997E-4</v>
      </c>
      <c r="M58" s="131" t="s">
        <v>795</v>
      </c>
      <c r="N58" s="1049"/>
      <c r="O58" s="1144">
        <v>4.0000000000000002E-4</v>
      </c>
    </row>
    <row r="59" spans="1:16">
      <c r="B59" s="275"/>
      <c r="C59" s="131" t="s">
        <v>748</v>
      </c>
      <c r="D59" s="124" t="s">
        <v>796</v>
      </c>
      <c r="J59" s="131" t="s">
        <v>793</v>
      </c>
      <c r="K59" s="1143"/>
      <c r="L59" s="1142">
        <f>IF(L56&gt;0,ROUND(+L57*L58,3),0)</f>
        <v>0</v>
      </c>
      <c r="M59" s="131" t="s">
        <v>793</v>
      </c>
      <c r="N59" s="1049"/>
      <c r="O59" s="1142">
        <f>IF(O56&gt;0,ROUND(+O57*O58,3),0)</f>
        <v>0</v>
      </c>
    </row>
    <row r="60" spans="1:16">
      <c r="B60" s="275"/>
      <c r="C60" s="131" t="s">
        <v>750</v>
      </c>
      <c r="D60" s="124" t="s">
        <v>818</v>
      </c>
      <c r="J60" s="131" t="s">
        <v>797</v>
      </c>
      <c r="K60" s="1143"/>
      <c r="L60" s="1142">
        <v>1.278</v>
      </c>
      <c r="M60" s="131" t="s">
        <v>797</v>
      </c>
      <c r="N60" s="1049"/>
      <c r="O60" s="1144">
        <v>1.3979999999999999</v>
      </c>
    </row>
    <row r="61" spans="1:16">
      <c r="B61" s="275"/>
      <c r="C61" s="131" t="s">
        <v>819</v>
      </c>
      <c r="D61" s="124" t="s">
        <v>798</v>
      </c>
      <c r="J61" s="131" t="s">
        <v>793</v>
      </c>
      <c r="K61" s="1143"/>
      <c r="L61" s="1142">
        <f>IF(L56&gt;0,+L59+L60,0)</f>
        <v>0</v>
      </c>
      <c r="M61" s="131" t="s">
        <v>793</v>
      </c>
      <c r="N61" s="1049"/>
      <c r="O61" s="1142">
        <f>IF(O56&gt;0,+O59+O60,0)</f>
        <v>0</v>
      </c>
    </row>
    <row r="62" spans="1:16">
      <c r="B62" s="275"/>
      <c r="C62" s="131" t="s">
        <v>820</v>
      </c>
      <c r="D62" s="124" t="s">
        <v>821</v>
      </c>
      <c r="J62" s="131" t="s">
        <v>795</v>
      </c>
      <c r="K62" s="1136" t="s">
        <v>451</v>
      </c>
      <c r="L62" s="1145">
        <v>474.47</v>
      </c>
      <c r="M62" s="131" t="s">
        <v>795</v>
      </c>
      <c r="N62" s="1136" t="s">
        <v>451</v>
      </c>
      <c r="O62" s="1145">
        <v>494.39</v>
      </c>
    </row>
    <row r="63" spans="1:16" ht="12.6" thickBot="1">
      <c r="B63" s="275"/>
      <c r="C63" s="131" t="s">
        <v>822</v>
      </c>
      <c r="D63" s="131"/>
      <c r="F63" s="124" t="s">
        <v>816</v>
      </c>
      <c r="J63" s="131" t="s">
        <v>793</v>
      </c>
      <c r="K63" s="1140" t="s">
        <v>451</v>
      </c>
      <c r="L63" s="1141">
        <f>IF(L56&gt;0,ROUND(+L61*L62,2),0)</f>
        <v>0</v>
      </c>
      <c r="M63" s="131" t="s">
        <v>793</v>
      </c>
      <c r="N63" s="1140" t="s">
        <v>451</v>
      </c>
      <c r="O63" s="1141">
        <f>IF(O56&gt;0,ROUND(+O61*O62,2),0)</f>
        <v>0</v>
      </c>
    </row>
    <row r="64" spans="1:16" ht="7.5" customHeight="1" thickTop="1">
      <c r="B64" s="275"/>
    </row>
    <row r="65" spans="2:15">
      <c r="B65" s="1040" t="s">
        <v>24</v>
      </c>
      <c r="C65" s="124" t="s">
        <v>823</v>
      </c>
    </row>
    <row r="66" spans="2:15">
      <c r="B66" s="275"/>
      <c r="C66" s="131" t="s">
        <v>639</v>
      </c>
      <c r="D66" s="124" t="s">
        <v>789</v>
      </c>
      <c r="K66" s="1049"/>
      <c r="L66" s="1142">
        <v>600</v>
      </c>
      <c r="N66" s="1049"/>
      <c r="O66" s="1142">
        <v>600</v>
      </c>
    </row>
    <row r="67" spans="2:15">
      <c r="B67" s="275"/>
      <c r="C67" s="131" t="s">
        <v>641</v>
      </c>
      <c r="D67" s="124" t="s">
        <v>800</v>
      </c>
      <c r="J67" s="131" t="s">
        <v>791</v>
      </c>
      <c r="K67" s="1049"/>
      <c r="L67" s="1144">
        <f>IF(AND(500&lt;='Data Entry'!H17,'Data Entry'!H17&lt;600),'Data Entry'!H17,0)</f>
        <v>0</v>
      </c>
      <c r="M67" s="131" t="s">
        <v>791</v>
      </c>
      <c r="N67" s="1049"/>
      <c r="O67" s="1144">
        <f>IF(AND(VALUE(LEFT(RIGHT(O1,7),2))=3,('Data Entry'!I17+'Data Entry'!L124)&gt;=500,('Data Entry'!I17+'Data Entry'!L124)&lt;600),('Data Entry'!I17+'Data Entry'!L124),IF(AND('Data Entry'!I17&gt;=500,'Data Entry'!I17&lt;600),'Data Entry'!I17,0))</f>
        <v>0</v>
      </c>
    </row>
    <row r="68" spans="2:15">
      <c r="B68" s="275"/>
      <c r="C68" s="131" t="s">
        <v>643</v>
      </c>
      <c r="D68" s="124" t="s">
        <v>792</v>
      </c>
      <c r="J68" s="131" t="s">
        <v>793</v>
      </c>
      <c r="K68" s="1049"/>
      <c r="L68" s="1144">
        <f>IF(L67&gt;0,+L66-L67,0)</f>
        <v>0</v>
      </c>
      <c r="M68" s="131" t="s">
        <v>793</v>
      </c>
      <c r="N68" s="1049"/>
      <c r="O68" s="1144">
        <f>IF(O67&gt;0,+O66-O67,0)</f>
        <v>0</v>
      </c>
    </row>
    <row r="69" spans="2:15">
      <c r="B69" s="275"/>
      <c r="C69" s="131" t="s">
        <v>746</v>
      </c>
      <c r="D69" s="124" t="s">
        <v>794</v>
      </c>
      <c r="J69" s="131" t="s">
        <v>795</v>
      </c>
      <c r="K69" s="1049"/>
      <c r="L69" s="1144">
        <v>1.1999999999999999E-3</v>
      </c>
      <c r="M69" s="131" t="s">
        <v>795</v>
      </c>
      <c r="N69" s="1049"/>
      <c r="O69" s="1144">
        <v>1.2999999999999999E-3</v>
      </c>
    </row>
    <row r="70" spans="2:15">
      <c r="B70" s="275"/>
      <c r="C70" s="131" t="s">
        <v>748</v>
      </c>
      <c r="D70" s="124" t="s">
        <v>796</v>
      </c>
      <c r="J70" s="131" t="s">
        <v>793</v>
      </c>
      <c r="K70" s="1049"/>
      <c r="L70" s="1144">
        <f>IF(L67&gt;0,ROUND(+L68*L69,3),0)</f>
        <v>0</v>
      </c>
      <c r="M70" s="131" t="s">
        <v>793</v>
      </c>
      <c r="N70" s="1049"/>
      <c r="O70" s="1144">
        <f>IF(O67&gt;0,ROUND(+O68*O69,3),0)</f>
        <v>0</v>
      </c>
    </row>
    <row r="71" spans="2:15">
      <c r="B71" s="275"/>
      <c r="C71" s="131" t="s">
        <v>750</v>
      </c>
      <c r="D71" s="124" t="s">
        <v>818</v>
      </c>
      <c r="J71" s="131" t="s">
        <v>797</v>
      </c>
      <c r="K71" s="1049"/>
      <c r="L71" s="1144">
        <v>1.1579999999999999</v>
      </c>
      <c r="M71" s="131" t="s">
        <v>797</v>
      </c>
      <c r="N71" s="1049"/>
      <c r="O71" s="1144">
        <v>1.268</v>
      </c>
    </row>
    <row r="72" spans="2:15">
      <c r="B72" s="275"/>
      <c r="C72" s="131" t="s">
        <v>819</v>
      </c>
      <c r="D72" s="124" t="s">
        <v>798</v>
      </c>
      <c r="J72" s="131" t="s">
        <v>793</v>
      </c>
      <c r="K72" s="1049"/>
      <c r="L72" s="1144">
        <f>IF(L67&gt;0,+L70+L71,0)</f>
        <v>0</v>
      </c>
      <c r="M72" s="131" t="s">
        <v>793</v>
      </c>
      <c r="N72" s="1049"/>
      <c r="O72" s="1144">
        <f>IF(O67&gt;0,+O70+O71,0)</f>
        <v>0</v>
      </c>
    </row>
    <row r="73" spans="2:15">
      <c r="B73" s="275"/>
      <c r="C73" s="131" t="s">
        <v>820</v>
      </c>
      <c r="D73" s="124" t="s">
        <v>821</v>
      </c>
      <c r="J73" s="131" t="s">
        <v>795</v>
      </c>
      <c r="K73" s="1136" t="s">
        <v>451</v>
      </c>
      <c r="L73" s="1145">
        <v>474.47</v>
      </c>
      <c r="M73" s="131" t="s">
        <v>795</v>
      </c>
      <c r="N73" s="1136" t="s">
        <v>451</v>
      </c>
      <c r="O73" s="1145">
        <v>494.39</v>
      </c>
    </row>
    <row r="74" spans="2:15" ht="12.6" thickBot="1">
      <c r="B74" s="275"/>
      <c r="C74" s="131" t="s">
        <v>822</v>
      </c>
      <c r="D74" s="131"/>
      <c r="F74" s="124" t="s">
        <v>816</v>
      </c>
      <c r="J74" s="131" t="s">
        <v>793</v>
      </c>
      <c r="K74" s="1140" t="s">
        <v>451</v>
      </c>
      <c r="L74" s="1141">
        <f>IF(L67&gt;0,ROUND(+L72*L73,2),0)</f>
        <v>0</v>
      </c>
      <c r="M74" s="131" t="s">
        <v>793</v>
      </c>
      <c r="N74" s="1140" t="s">
        <v>451</v>
      </c>
      <c r="O74" s="1141">
        <f>IF(O67&gt;0,ROUND(+O72*O73,2),0)</f>
        <v>0</v>
      </c>
    </row>
    <row r="75" spans="2:15" ht="7.5" customHeight="1" thickTop="1">
      <c r="B75" s="275"/>
    </row>
    <row r="76" spans="2:15">
      <c r="B76" s="1040" t="s">
        <v>51</v>
      </c>
      <c r="C76" s="124" t="s">
        <v>824</v>
      </c>
    </row>
    <row r="77" spans="2:15" ht="12.6" thickBot="1">
      <c r="F77" s="124" t="s">
        <v>816</v>
      </c>
      <c r="K77" s="1140" t="s">
        <v>451</v>
      </c>
      <c r="L77" s="1141">
        <v>549.45000000000005</v>
      </c>
      <c r="N77" s="1140" t="s">
        <v>451</v>
      </c>
      <c r="O77" s="1141">
        <v>600.86</v>
      </c>
    </row>
    <row r="78" spans="2:15" ht="12.6" thickTop="1">
      <c r="K78" s="131"/>
      <c r="L78" s="1063"/>
      <c r="N78" s="131"/>
      <c r="O78" s="1063"/>
    </row>
    <row r="80" spans="2:15">
      <c r="B80" s="283"/>
      <c r="N80" s="131"/>
      <c r="O80" s="1063"/>
    </row>
    <row r="82" spans="1:19" ht="15.75" customHeight="1">
      <c r="A82" s="1780" t="s">
        <v>825</v>
      </c>
      <c r="B82" s="1780"/>
      <c r="C82" s="1780"/>
      <c r="D82" s="1780"/>
      <c r="E82" s="1780"/>
      <c r="F82" s="1780"/>
      <c r="G82" s="1780"/>
      <c r="H82" s="1780"/>
      <c r="I82" s="1780"/>
      <c r="J82" s="1780"/>
      <c r="K82" s="1780"/>
      <c r="L82" s="1780"/>
      <c r="M82" s="1780"/>
      <c r="N82" s="1780"/>
      <c r="O82" s="1780"/>
      <c r="P82" s="1780"/>
      <c r="Q82" s="1780"/>
      <c r="R82" s="1780"/>
      <c r="S82" s="1780"/>
    </row>
    <row r="83" spans="1:19">
      <c r="B83" s="283" t="s">
        <v>6</v>
      </c>
      <c r="C83" s="124" t="s">
        <v>826</v>
      </c>
      <c r="Q83" s="1136" t="s">
        <v>451</v>
      </c>
      <c r="R83" s="1137">
        <f>[1]!GBLBudgFY</f>
        <v>2041041</v>
      </c>
    </row>
    <row r="84" spans="1:19">
      <c r="B84" s="1146" t="s">
        <v>9</v>
      </c>
      <c r="C84" s="124" t="s">
        <v>827</v>
      </c>
      <c r="Q84" s="1136" t="s">
        <v>451</v>
      </c>
      <c r="R84" s="1137">
        <f>BUDG75Adj</f>
        <v>0</v>
      </c>
    </row>
    <row r="85" spans="1:19">
      <c r="B85" s="283" t="s">
        <v>24</v>
      </c>
      <c r="C85" s="124" t="s">
        <v>828</v>
      </c>
      <c r="Q85" s="1136" t="s">
        <v>451</v>
      </c>
      <c r="R85" s="1137">
        <f>R83+R84</f>
        <v>2041041</v>
      </c>
    </row>
    <row r="86" spans="1:19">
      <c r="B86" s="283" t="s">
        <v>51</v>
      </c>
      <c r="C86" s="124" t="s">
        <v>829</v>
      </c>
      <c r="Q86" s="1136" t="s">
        <v>451</v>
      </c>
      <c r="R86" s="1137">
        <f>[1]!F001TotalExp</f>
        <v>2041041</v>
      </c>
    </row>
    <row r="87" spans="1:19">
      <c r="B87" s="283" t="s">
        <v>166</v>
      </c>
      <c r="C87" s="124" t="s">
        <v>830</v>
      </c>
      <c r="Q87" s="1136" t="s">
        <v>451</v>
      </c>
      <c r="R87" s="1137">
        <f>R84</f>
        <v>0</v>
      </c>
    </row>
    <row r="88" spans="1:19">
      <c r="B88" s="283" t="s">
        <v>168</v>
      </c>
      <c r="C88" s="124" t="s">
        <v>831</v>
      </c>
      <c r="Q88" s="1136" t="s">
        <v>451</v>
      </c>
      <c r="R88" s="1137">
        <f>R86+R87</f>
        <v>2041041</v>
      </c>
    </row>
    <row r="89" spans="1:19">
      <c r="B89" s="283" t="s">
        <v>170</v>
      </c>
      <c r="C89" s="124" t="s">
        <v>832</v>
      </c>
      <c r="Q89" s="1136" t="s">
        <v>451</v>
      </c>
      <c r="R89" s="1137">
        <f>MIN(R85,R88)</f>
        <v>2041041</v>
      </c>
    </row>
    <row r="90" spans="1:19">
      <c r="B90" s="1146" t="s">
        <v>172</v>
      </c>
      <c r="C90" s="124" t="s">
        <v>741</v>
      </c>
      <c r="Q90" s="1136" t="s">
        <v>451</v>
      </c>
      <c r="R90" s="1137">
        <f>PYTotMOActExpend</f>
        <v>1900000</v>
      </c>
    </row>
    <row r="91" spans="1:19" ht="23.25" customHeight="1">
      <c r="B91" s="1071" t="s">
        <v>174</v>
      </c>
      <c r="C91" s="1510" t="s">
        <v>833</v>
      </c>
      <c r="D91" s="1510"/>
      <c r="E91" s="1510"/>
      <c r="F91" s="1510"/>
      <c r="G91" s="1510"/>
      <c r="H91" s="1510"/>
      <c r="I91" s="1510"/>
      <c r="K91" s="1136" t="s">
        <v>451</v>
      </c>
      <c r="L91" s="1137" t="str">
        <f>IF((R89-R90&lt;0),R89-R90," ")</f>
        <v xml:space="preserve"> </v>
      </c>
      <c r="N91" s="1783" t="str">
        <f>IF(L91&lt;0,"OVEREXPENDED"," ")</f>
        <v xml:space="preserve"> </v>
      </c>
      <c r="O91" s="1783"/>
      <c r="Q91" s="1136" t="s">
        <v>451</v>
      </c>
      <c r="R91" s="1137">
        <f>IF(R89-R90&gt;0,R89-R90,0)</f>
        <v>141041</v>
      </c>
    </row>
    <row r="92" spans="1:19">
      <c r="C92" s="491"/>
      <c r="D92" s="491"/>
      <c r="E92" s="491"/>
      <c r="F92" s="491"/>
      <c r="G92" s="491"/>
      <c r="H92" s="491"/>
      <c r="I92" s="491"/>
    </row>
    <row r="93" spans="1:19">
      <c r="B93" s="152" t="s">
        <v>834</v>
      </c>
    </row>
    <row r="95" spans="1:19" ht="15.75" customHeight="1">
      <c r="B95" s="1146" t="s">
        <v>176</v>
      </c>
      <c r="C95" s="124" t="s">
        <v>835</v>
      </c>
      <c r="K95" s="1410" t="s">
        <v>836</v>
      </c>
      <c r="L95" s="1410"/>
      <c r="N95" s="1410" t="s">
        <v>837</v>
      </c>
      <c r="O95" s="1410"/>
      <c r="Q95" s="1410" t="s">
        <v>838</v>
      </c>
      <c r="R95" s="1410"/>
    </row>
    <row r="96" spans="1:19">
      <c r="C96" s="131" t="s">
        <v>639</v>
      </c>
      <c r="D96" s="124" t="s">
        <v>839</v>
      </c>
      <c r="K96" s="1136" t="s">
        <v>451</v>
      </c>
      <c r="L96" s="1137">
        <f>[1]!SpecProgOverride</f>
        <v>0</v>
      </c>
      <c r="M96" s="134" t="s">
        <v>791</v>
      </c>
      <c r="N96" s="1136" t="s">
        <v>451</v>
      </c>
      <c r="O96" s="1137">
        <f>'Data Entry'!L87</f>
        <v>0</v>
      </c>
      <c r="P96" s="134" t="s">
        <v>793</v>
      </c>
      <c r="Q96" s="1136" t="s">
        <v>451</v>
      </c>
      <c r="R96" s="1137">
        <f t="shared" ref="R96:R101" si="0">IF(L96-O96&gt;0,L96-O96,0)</f>
        <v>0</v>
      </c>
    </row>
    <row r="97" spans="2:18">
      <c r="C97" s="131" t="s">
        <v>641</v>
      </c>
      <c r="D97" s="124" t="s">
        <v>840</v>
      </c>
      <c r="K97" s="1136" t="s">
        <v>451</v>
      </c>
      <c r="L97" s="1137">
        <f>[1]!BudgIncrDesegExp</f>
        <v>0</v>
      </c>
      <c r="M97" s="134" t="s">
        <v>791</v>
      </c>
      <c r="N97" s="1136" t="s">
        <v>451</v>
      </c>
      <c r="O97" s="1137">
        <f>'Data Entry'!L88</f>
        <v>0</v>
      </c>
      <c r="P97" s="134" t="s">
        <v>793</v>
      </c>
      <c r="Q97" s="1136" t="s">
        <v>451</v>
      </c>
      <c r="R97" s="1137">
        <f t="shared" si="0"/>
        <v>0</v>
      </c>
    </row>
    <row r="98" spans="2:18">
      <c r="C98" s="131" t="s">
        <v>643</v>
      </c>
      <c r="D98" s="124" t="s">
        <v>841</v>
      </c>
      <c r="K98" s="1136" t="s">
        <v>451</v>
      </c>
      <c r="L98" s="1137">
        <f>[1]!BudgIncrTuitOutDebtServ</f>
        <v>0</v>
      </c>
      <c r="M98" s="134" t="s">
        <v>791</v>
      </c>
      <c r="N98" s="1136" t="s">
        <v>451</v>
      </c>
      <c r="O98" s="1137">
        <f>'Data Entry'!L89</f>
        <v>0</v>
      </c>
      <c r="P98" s="134" t="s">
        <v>793</v>
      </c>
      <c r="Q98" s="1136" t="s">
        <v>451</v>
      </c>
      <c r="R98" s="1137">
        <f t="shared" si="0"/>
        <v>0</v>
      </c>
    </row>
    <row r="99" spans="2:18">
      <c r="C99" s="131" t="s">
        <v>746</v>
      </c>
      <c r="D99" s="124" t="s">
        <v>747</v>
      </c>
      <c r="K99" s="1136" t="s">
        <v>451</v>
      </c>
      <c r="L99" s="1137">
        <f>[1]!BudgIncrDropPrevProg</f>
        <v>0</v>
      </c>
      <c r="M99" s="134" t="s">
        <v>791</v>
      </c>
      <c r="N99" s="1136" t="s">
        <v>451</v>
      </c>
      <c r="O99" s="1137">
        <f>'Data Entry'!L90</f>
        <v>0</v>
      </c>
      <c r="P99" s="134" t="s">
        <v>793</v>
      </c>
      <c r="Q99" s="1136" t="s">
        <v>451</v>
      </c>
      <c r="R99" s="1137">
        <f t="shared" si="0"/>
        <v>0</v>
      </c>
    </row>
    <row r="100" spans="2:18">
      <c r="C100" s="131" t="s">
        <v>748</v>
      </c>
      <c r="D100" s="124" t="s">
        <v>842</v>
      </c>
      <c r="K100" s="1136" t="s">
        <v>451</v>
      </c>
      <c r="L100" s="1137">
        <f>[1]!BudgIncrJCTEVEC</f>
        <v>0</v>
      </c>
      <c r="M100" s="134" t="s">
        <v>791</v>
      </c>
      <c r="N100" s="1136" t="s">
        <v>451</v>
      </c>
      <c r="O100" s="1137">
        <f>'Data Entry'!L91</f>
        <v>0</v>
      </c>
      <c r="P100" s="134" t="s">
        <v>793</v>
      </c>
      <c r="Q100" s="1136" t="s">
        <v>451</v>
      </c>
      <c r="R100" s="1137">
        <f t="shared" si="0"/>
        <v>0</v>
      </c>
    </row>
    <row r="101" spans="2:18">
      <c r="C101" s="131" t="s">
        <v>750</v>
      </c>
      <c r="D101" s="124" t="s">
        <v>843</v>
      </c>
      <c r="K101" s="1136" t="s">
        <v>451</v>
      </c>
      <c r="L101" s="1137">
        <f>[1]!BudgIncrJCTEVEC</f>
        <v>0</v>
      </c>
      <c r="M101" s="134" t="s">
        <v>791</v>
      </c>
      <c r="N101" s="1136" t="s">
        <v>451</v>
      </c>
      <c r="O101" s="1137">
        <f>'Data Entry'!L92</f>
        <v>0</v>
      </c>
      <c r="P101" s="134" t="s">
        <v>793</v>
      </c>
      <c r="Q101" s="1136" t="s">
        <v>451</v>
      </c>
      <c r="R101" s="1137">
        <f t="shared" si="0"/>
        <v>0</v>
      </c>
    </row>
    <row r="102" spans="2:18">
      <c r="C102" s="131" t="s">
        <v>819</v>
      </c>
      <c r="D102" s="124" t="s">
        <v>844</v>
      </c>
      <c r="P102" s="134" t="s">
        <v>793</v>
      </c>
      <c r="Q102" s="1136" t="s">
        <v>451</v>
      </c>
      <c r="R102" s="1137">
        <f>R96+R97+R98+R99+R100+R101</f>
        <v>0</v>
      </c>
    </row>
    <row r="103" spans="2:18">
      <c r="B103" s="283" t="s">
        <v>178</v>
      </c>
      <c r="C103" s="124" t="s">
        <v>845</v>
      </c>
      <c r="Q103" s="1136" t="s">
        <v>451</v>
      </c>
      <c r="R103" s="1137">
        <f>IF(R91-R102&gt;0,R91-R102,0)</f>
        <v>141041</v>
      </c>
    </row>
    <row r="104" spans="2:18" ht="23.25" customHeight="1">
      <c r="B104" s="1071" t="s">
        <v>180</v>
      </c>
      <c r="C104" s="1730" t="s">
        <v>846</v>
      </c>
      <c r="D104" s="1730"/>
      <c r="E104" s="1730"/>
      <c r="F104" s="1730"/>
      <c r="G104" s="1730"/>
      <c r="H104" s="1730"/>
      <c r="I104" s="1730"/>
      <c r="J104" s="1730"/>
      <c r="P104" s="134" t="s">
        <v>791</v>
      </c>
      <c r="Q104" s="1136" t="s">
        <v>451</v>
      </c>
      <c r="R104" s="1137">
        <f>IF('Data Entry'!L93&gt;0,MIN('Data Entry'!L93,R103),0)</f>
        <v>0</v>
      </c>
    </row>
    <row r="105" spans="2:18">
      <c r="B105" s="283" t="s">
        <v>182</v>
      </c>
      <c r="C105" s="124" t="s">
        <v>847</v>
      </c>
      <c r="P105" s="124" t="s">
        <v>793</v>
      </c>
      <c r="Q105" s="1136" t="s">
        <v>451</v>
      </c>
      <c r="R105" s="1137">
        <f>R103-R104</f>
        <v>141041</v>
      </c>
    </row>
    <row r="107" spans="2:18">
      <c r="B107" s="283" t="s">
        <v>184</v>
      </c>
      <c r="C107" s="124" t="s">
        <v>848</v>
      </c>
    </row>
    <row r="108" spans="2:18">
      <c r="C108" s="1147" t="s">
        <v>639</v>
      </c>
      <c r="D108" s="124" t="s">
        <v>849</v>
      </c>
      <c r="Q108" s="1136" t="s">
        <v>451</v>
      </c>
      <c r="R108" s="1137">
        <f>IF(VALUE(LEFT(RIGHT(O1,7),2))=1,PYEndMOCash,0)</f>
        <v>0</v>
      </c>
    </row>
    <row r="109" spans="2:18">
      <c r="C109" s="131" t="s">
        <v>641</v>
      </c>
      <c r="D109" s="124" t="s">
        <v>850</v>
      </c>
      <c r="P109" s="131" t="s">
        <v>791</v>
      </c>
      <c r="Q109" s="1136" t="s">
        <v>451</v>
      </c>
      <c r="R109" s="1137">
        <f>IF(AND(VALUE(LEFT(RIGHT(O1,7),2))=1,LessDSLorRCL912&gt;0),R105,0)</f>
        <v>0</v>
      </c>
    </row>
    <row r="110" spans="2:18">
      <c r="C110" s="131" t="s">
        <v>643</v>
      </c>
      <c r="D110" s="124" t="s">
        <v>851</v>
      </c>
      <c r="P110" s="131" t="s">
        <v>793</v>
      </c>
      <c r="Q110" s="1136" t="s">
        <v>451</v>
      </c>
      <c r="R110" s="1137">
        <f>R108-R109</f>
        <v>0</v>
      </c>
    </row>
    <row r="111" spans="2:18">
      <c r="B111" s="283" t="s">
        <v>186</v>
      </c>
      <c r="C111" s="124" t="s">
        <v>852</v>
      </c>
    </row>
    <row r="112" spans="2:18">
      <c r="C112" s="131" t="s">
        <v>639</v>
      </c>
      <c r="D112" s="124" t="s">
        <v>853</v>
      </c>
      <c r="N112" s="1136" t="s">
        <v>451</v>
      </c>
      <c r="O112" s="1137">
        <f>R110</f>
        <v>0</v>
      </c>
    </row>
    <row r="113" spans="1:18">
      <c r="C113" s="1147" t="s">
        <v>641</v>
      </c>
      <c r="D113" s="124" t="s">
        <v>854</v>
      </c>
      <c r="N113" s="1136" t="s">
        <v>451</v>
      </c>
      <c r="O113" s="1137">
        <f>AccommRCL10</f>
        <v>0</v>
      </c>
    </row>
    <row r="114" spans="1:18">
      <c r="C114" s="1147" t="s">
        <v>643</v>
      </c>
      <c r="D114" s="124" t="s">
        <v>855</v>
      </c>
      <c r="M114" s="124" t="s">
        <v>797</v>
      </c>
      <c r="N114" s="1136" t="s">
        <v>451</v>
      </c>
      <c r="O114" s="1137">
        <f>AccommRCL05</f>
        <v>0</v>
      </c>
    </row>
    <row r="115" spans="1:18">
      <c r="C115" s="131" t="s">
        <v>746</v>
      </c>
      <c r="D115" s="124" t="s">
        <v>856</v>
      </c>
      <c r="M115" s="124" t="s">
        <v>793</v>
      </c>
      <c r="N115" s="1136" t="s">
        <v>451</v>
      </c>
      <c r="O115" s="1137">
        <f>O113+O114</f>
        <v>0</v>
      </c>
    </row>
    <row r="116" spans="1:18">
      <c r="C116" s="131" t="s">
        <v>748</v>
      </c>
      <c r="D116" s="124" t="s">
        <v>857</v>
      </c>
      <c r="Q116" s="1136" t="s">
        <v>451</v>
      </c>
      <c r="R116" s="1137">
        <f>MIN(O112,O115)</f>
        <v>0</v>
      </c>
    </row>
    <row r="118" spans="1:18" s="132" customFormat="1" ht="17.25" customHeight="1">
      <c r="A118" s="1148" t="s">
        <v>858</v>
      </c>
      <c r="B118" s="1058"/>
      <c r="C118" s="1058"/>
      <c r="D118" s="1058"/>
      <c r="E118" s="1058"/>
      <c r="F118" s="1058"/>
      <c r="G118" s="1058"/>
      <c r="H118" s="1058"/>
      <c r="I118" s="1058"/>
      <c r="J118" s="1058"/>
      <c r="K118" s="1058"/>
      <c r="L118" s="1058"/>
    </row>
    <row r="119" spans="1:18">
      <c r="B119" s="1146" t="s">
        <v>6</v>
      </c>
      <c r="C119" s="124" t="s">
        <v>859</v>
      </c>
      <c r="Q119" s="1136" t="s">
        <v>451</v>
      </c>
      <c r="R119" s="1137">
        <f>'Data Entry'!L96</f>
        <v>0</v>
      </c>
    </row>
    <row r="120" spans="1:18">
      <c r="B120" s="1146" t="s">
        <v>9</v>
      </c>
      <c r="C120" s="1730" t="s">
        <v>755</v>
      </c>
      <c r="D120" s="1730"/>
      <c r="E120" s="1730"/>
      <c r="F120" s="1730"/>
      <c r="G120" s="1730"/>
      <c r="H120" s="1730"/>
      <c r="I120" s="1730"/>
      <c r="J120" s="1730"/>
      <c r="K120" s="1730"/>
      <c r="L120" s="1730"/>
    </row>
    <row r="121" spans="1:18">
      <c r="B121" s="283"/>
      <c r="C121" s="1730"/>
      <c r="D121" s="1730"/>
      <c r="E121" s="1730"/>
      <c r="F121" s="1730"/>
      <c r="G121" s="1730"/>
      <c r="H121" s="1730"/>
      <c r="I121" s="1730"/>
      <c r="J121" s="1730"/>
      <c r="K121" s="1730"/>
      <c r="L121" s="1730"/>
      <c r="P121" s="134" t="s">
        <v>791</v>
      </c>
      <c r="Q121" s="1136" t="s">
        <v>451</v>
      </c>
      <c r="R121" s="1137">
        <f>'Data Entry'!L97</f>
        <v>0</v>
      </c>
    </row>
    <row r="122" spans="1:18">
      <c r="B122" s="283" t="s">
        <v>24</v>
      </c>
      <c r="C122" s="124" t="s">
        <v>860</v>
      </c>
      <c r="N122" s="1136" t="s">
        <v>451</v>
      </c>
      <c r="O122" s="1137">
        <f>IF('Data Entry'!L96&gt;0,CYTRCL-TSL,0)</f>
        <v>0</v>
      </c>
      <c r="P122" s="134"/>
    </row>
    <row r="123" spans="1:18">
      <c r="B123" s="1146" t="s">
        <v>51</v>
      </c>
      <c r="C123" s="1510" t="s">
        <v>861</v>
      </c>
      <c r="D123" s="1510"/>
      <c r="E123" s="1510"/>
      <c r="F123" s="1510"/>
      <c r="G123" s="1510"/>
      <c r="H123" s="1510"/>
      <c r="I123" s="1510"/>
      <c r="J123" s="1510"/>
      <c r="K123" s="1510"/>
      <c r="L123" s="1510"/>
      <c r="M123" s="1510"/>
      <c r="N123" s="1510"/>
      <c r="P123" s="134" t="s">
        <v>791</v>
      </c>
      <c r="Q123" s="1136" t="s">
        <v>451</v>
      </c>
      <c r="R123" s="1137">
        <f>'Data Entry'!L98</f>
        <v>0</v>
      </c>
    </row>
    <row r="124" spans="1:18">
      <c r="B124" s="1146" t="s">
        <v>166</v>
      </c>
      <c r="C124" s="124" t="s">
        <v>758</v>
      </c>
      <c r="P124" s="134" t="s">
        <v>791</v>
      </c>
      <c r="Q124" s="1136" t="s">
        <v>451</v>
      </c>
      <c r="R124" s="1137">
        <f>'Data Entry'!L99</f>
        <v>0</v>
      </c>
    </row>
    <row r="125" spans="1:18">
      <c r="B125" s="1146" t="s">
        <v>168</v>
      </c>
      <c r="C125" s="124" t="s">
        <v>862</v>
      </c>
      <c r="P125" s="134" t="s">
        <v>797</v>
      </c>
      <c r="Q125" s="1136" t="s">
        <v>451</v>
      </c>
      <c r="R125" s="1137">
        <f>'Data Entry'!L100</f>
        <v>0</v>
      </c>
    </row>
    <row r="126" spans="1:18" ht="11.25" customHeight="1">
      <c r="B126" s="1071" t="s">
        <v>170</v>
      </c>
      <c r="C126" s="1510" t="s">
        <v>863</v>
      </c>
      <c r="D126" s="1510"/>
      <c r="E126" s="1510"/>
      <c r="F126" s="1510"/>
      <c r="G126" s="1510"/>
      <c r="H126" s="1510"/>
      <c r="I126" s="1510"/>
      <c r="J126" s="1510"/>
      <c r="P126" s="134" t="s">
        <v>793</v>
      </c>
      <c r="Q126" s="1136" t="s">
        <v>451</v>
      </c>
      <c r="R126" s="1137">
        <f>R119-R121-R123-R124+R125</f>
        <v>0</v>
      </c>
    </row>
    <row r="130" spans="1:26" ht="13.8">
      <c r="A130" s="1094" t="s">
        <v>864</v>
      </c>
    </row>
    <row r="132" spans="1:26" ht="34.5" customHeight="1">
      <c r="A132" s="1779" t="s">
        <v>865</v>
      </c>
      <c r="B132" s="1779"/>
      <c r="C132" s="1779"/>
      <c r="D132" s="1779"/>
      <c r="E132" s="1779"/>
      <c r="F132" s="1779"/>
      <c r="G132" s="1779"/>
      <c r="H132" s="1779"/>
      <c r="I132" s="1779"/>
      <c r="J132" s="1779"/>
      <c r="K132" s="1779"/>
      <c r="L132" s="1779"/>
      <c r="M132" s="1779"/>
      <c r="N132" s="1779"/>
      <c r="O132" s="1779"/>
      <c r="P132" s="1779"/>
      <c r="Q132" s="1779"/>
      <c r="R132" s="1779"/>
    </row>
    <row r="134" spans="1:26" ht="43.5" customHeight="1">
      <c r="A134" s="1510" t="s">
        <v>866</v>
      </c>
      <c r="B134" s="1510"/>
      <c r="C134" s="1510"/>
      <c r="D134" s="1510"/>
      <c r="E134" s="1510"/>
      <c r="F134" s="1510"/>
      <c r="G134" s="1510"/>
      <c r="H134" s="1510"/>
      <c r="I134" s="1510"/>
      <c r="J134" s="1510"/>
      <c r="K134" s="1510"/>
      <c r="L134" s="1510"/>
      <c r="M134" s="1510"/>
      <c r="N134" s="1510"/>
      <c r="O134" s="1510"/>
      <c r="P134" s="1510"/>
      <c r="Q134" s="1510"/>
      <c r="R134" s="1510"/>
    </row>
    <row r="136" spans="1:26">
      <c r="B136" s="283" t="s">
        <v>6</v>
      </c>
      <c r="C136" s="124" t="s">
        <v>867</v>
      </c>
      <c r="W136" s="152"/>
      <c r="Y136" s="287" t="s">
        <v>868</v>
      </c>
    </row>
    <row r="137" spans="1:26">
      <c r="C137" s="156" t="s">
        <v>639</v>
      </c>
      <c r="D137" s="1149" t="s">
        <v>869</v>
      </c>
      <c r="Q137" s="1136" t="s">
        <v>451</v>
      </c>
      <c r="R137" s="1137">
        <v>150000</v>
      </c>
      <c r="T137" s="1802" t="s">
        <v>870</v>
      </c>
      <c r="U137" s="1802"/>
      <c r="Y137" s="990" t="s">
        <v>871</v>
      </c>
      <c r="Z137" s="287" t="s">
        <v>868</v>
      </c>
    </row>
    <row r="138" spans="1:26">
      <c r="C138" s="156" t="s">
        <v>641</v>
      </c>
      <c r="D138" s="132" t="s">
        <v>872</v>
      </c>
      <c r="O138" s="1016">
        <f>IF(AND(SSAPhaseDownCheckbox="X",SSAFYExceeded&lt;2000,UnweightedStudCntK8PY&gt;125,UnweightedStudCntK8PY&lt;154),UnweightedStudCntK8PY,0)</f>
        <v>0</v>
      </c>
      <c r="T138" s="124" t="s">
        <v>789</v>
      </c>
      <c r="Y138" s="1016">
        <v>500</v>
      </c>
      <c r="Z138" s="1016">
        <v>500</v>
      </c>
    </row>
    <row r="139" spans="1:26">
      <c r="C139" s="156" t="s">
        <v>643</v>
      </c>
      <c r="D139" s="1149" t="s">
        <v>873</v>
      </c>
      <c r="N139" s="134" t="s">
        <v>791</v>
      </c>
      <c r="O139" s="1016">
        <v>125</v>
      </c>
      <c r="T139" s="124" t="s">
        <v>874</v>
      </c>
      <c r="X139" s="131" t="s">
        <v>791</v>
      </c>
      <c r="Y139" s="1016">
        <f>IF(AND(SSAPhaseDownCheckbox="X",SmallIsolatedPSD8Checkbox="X"),O138,0)</f>
        <v>0</v>
      </c>
      <c r="Z139" s="1016">
        <f>IF(AND(SSAPhaseDownCheckbox="X",SmallIsolatedPSD8Checkbox&lt;&gt;"X"),O138,0)</f>
        <v>0</v>
      </c>
    </row>
    <row r="140" spans="1:26">
      <c r="C140" s="156" t="s">
        <v>746</v>
      </c>
      <c r="D140" s="1149" t="s">
        <v>875</v>
      </c>
      <c r="N140" s="134" t="s">
        <v>793</v>
      </c>
      <c r="O140" s="1016">
        <f>IF(O138&gt;0,O138-O139,0)</f>
        <v>0</v>
      </c>
      <c r="U140" s="124" t="s">
        <v>792</v>
      </c>
      <c r="X140" s="131" t="s">
        <v>793</v>
      </c>
      <c r="Y140" s="1016">
        <f>IF(Y139&gt;0,Y138-Y139,0)</f>
        <v>0</v>
      </c>
      <c r="Z140" s="1016">
        <f>IF(Z139&gt;0,Z138-Z139,0)</f>
        <v>0</v>
      </c>
    </row>
    <row r="141" spans="1:26">
      <c r="C141" s="156" t="s">
        <v>748</v>
      </c>
      <c r="D141" s="1149" t="s">
        <v>876</v>
      </c>
      <c r="N141" s="134" t="s">
        <v>795</v>
      </c>
      <c r="O141" s="1016">
        <f>IF(AND(O138&gt;0,SSAPhaseDownCheckbox="X",SmallIsolatedPSD8Checkbox="X"),Y144,IF(AND(O138&gt;0,SSAPhaseDownCheckbox="X",SmallIsolatedPSD8Checkbox&lt;&gt;"X"),Z144,0))</f>
        <v>0</v>
      </c>
      <c r="U141" s="124" t="s">
        <v>794</v>
      </c>
      <c r="X141" s="131" t="s">
        <v>795</v>
      </c>
      <c r="Y141" s="1016">
        <v>5.0000000000000001E-4</v>
      </c>
      <c r="Z141" s="1016">
        <v>2.9999999999999997E-4</v>
      </c>
    </row>
    <row r="142" spans="1:26">
      <c r="C142" s="156" t="s">
        <v>750</v>
      </c>
      <c r="D142" s="1149" t="s">
        <v>877</v>
      </c>
      <c r="N142" s="134" t="s">
        <v>793</v>
      </c>
      <c r="O142" s="1016">
        <f>ROUND(O140*O141,3)</f>
        <v>0</v>
      </c>
      <c r="U142" s="124" t="s">
        <v>796</v>
      </c>
      <c r="X142" s="131" t="s">
        <v>793</v>
      </c>
      <c r="Y142" s="1016">
        <f>Y140*Y141</f>
        <v>0</v>
      </c>
      <c r="Z142" s="1016">
        <f>Z140*Z141</f>
        <v>0</v>
      </c>
    </row>
    <row r="143" spans="1:26">
      <c r="C143" s="156" t="s">
        <v>819</v>
      </c>
      <c r="D143" s="1149" t="s">
        <v>878</v>
      </c>
      <c r="N143" s="134" t="s">
        <v>795</v>
      </c>
      <c r="O143" s="1056">
        <f>IF(O138&gt;0,'Data Entry'!L53,0)</f>
        <v>0</v>
      </c>
      <c r="U143" s="124" t="s">
        <v>818</v>
      </c>
      <c r="X143" s="131" t="s">
        <v>797</v>
      </c>
      <c r="Y143" s="1087">
        <v>1.3580000000000001</v>
      </c>
      <c r="Z143" s="1087">
        <v>1.278</v>
      </c>
    </row>
    <row r="144" spans="1:26">
      <c r="C144" s="156" t="s">
        <v>820</v>
      </c>
      <c r="D144" s="1149" t="s">
        <v>879</v>
      </c>
      <c r="P144" s="134" t="s">
        <v>791</v>
      </c>
      <c r="Q144" s="1136" t="s">
        <v>451</v>
      </c>
      <c r="R144" s="1137">
        <f>ROUND(O142*O143,2)</f>
        <v>0</v>
      </c>
      <c r="T144" s="124" t="s">
        <v>880</v>
      </c>
      <c r="X144" s="131" t="s">
        <v>793</v>
      </c>
      <c r="Y144" s="1016">
        <f>IF(Y139&gt;0,Y142+Y143,0)</f>
        <v>0</v>
      </c>
      <c r="Z144" s="1016">
        <f>IF(Z139&gt;0,Z142+Z143,0)</f>
        <v>0</v>
      </c>
    </row>
    <row r="145" spans="1:26">
      <c r="C145" s="156" t="s">
        <v>822</v>
      </c>
      <c r="D145" s="1149" t="s">
        <v>881</v>
      </c>
      <c r="Q145" s="1136" t="s">
        <v>451</v>
      </c>
      <c r="R145" s="1137">
        <f>IF(O138&gt;0,R137-R144,0)</f>
        <v>0</v>
      </c>
    </row>
    <row r="147" spans="1:26" ht="23.25" customHeight="1">
      <c r="A147" s="155"/>
      <c r="B147" s="1071" t="s">
        <v>9</v>
      </c>
      <c r="C147" s="1730" t="s">
        <v>882</v>
      </c>
      <c r="D147" s="1730"/>
      <c r="E147" s="1730"/>
      <c r="F147" s="1730"/>
      <c r="G147" s="1730"/>
      <c r="H147" s="1730"/>
      <c r="I147" s="1730"/>
      <c r="J147" s="1730"/>
      <c r="K147" s="1730"/>
      <c r="L147" s="1730"/>
      <c r="M147" s="1730"/>
      <c r="N147" s="1730"/>
      <c r="O147" s="1730"/>
      <c r="P147" s="1730"/>
      <c r="Q147" s="1730"/>
      <c r="R147" s="157"/>
      <c r="W147" s="152"/>
      <c r="Y147" s="287" t="s">
        <v>868</v>
      </c>
    </row>
    <row r="148" spans="1:26">
      <c r="C148" s="156" t="s">
        <v>639</v>
      </c>
      <c r="D148" s="1149" t="s">
        <v>869</v>
      </c>
      <c r="Q148" s="1136" t="s">
        <v>451</v>
      </c>
      <c r="R148" s="1137">
        <v>350000</v>
      </c>
      <c r="T148" s="1802" t="s">
        <v>883</v>
      </c>
      <c r="U148" s="1802"/>
      <c r="Y148" s="990" t="s">
        <v>871</v>
      </c>
      <c r="Z148" s="287" t="s">
        <v>868</v>
      </c>
    </row>
    <row r="149" spans="1:26">
      <c r="C149" s="156" t="s">
        <v>641</v>
      </c>
      <c r="D149" s="132" t="s">
        <v>884</v>
      </c>
      <c r="O149" s="1016">
        <f>IF(AND(SSAPhaseDownCheckbox="X",SSAFYExceeded&lt;2000,UnweightedStudCnt912PY&gt;100,UnweightedStudCnt912PY&lt;176),UnweightedStudCnt912PY,0)</f>
        <v>0</v>
      </c>
      <c r="T149" s="124" t="s">
        <v>789</v>
      </c>
      <c r="Y149" s="1016">
        <v>500</v>
      </c>
      <c r="Z149" s="1016">
        <v>500</v>
      </c>
    </row>
    <row r="150" spans="1:26">
      <c r="C150" s="156" t="s">
        <v>643</v>
      </c>
      <c r="D150" s="1149" t="s">
        <v>873</v>
      </c>
      <c r="N150" s="134" t="s">
        <v>791</v>
      </c>
      <c r="O150" s="1016">
        <v>100</v>
      </c>
      <c r="T150" s="124" t="s">
        <v>885</v>
      </c>
      <c r="X150" s="131" t="s">
        <v>791</v>
      </c>
      <c r="Y150" s="1016">
        <f>IF(AND(SSAPhaseDownCheckbox="X",SmallIsolated912Checkbox="X"),O149,0)</f>
        <v>0</v>
      </c>
      <c r="Z150" s="1016">
        <f>IF(AND(SSAPhaseDownCheckbox="X",SmallIsolated912Checkbox&lt;&gt;"X"),O149,0)</f>
        <v>0</v>
      </c>
    </row>
    <row r="151" spans="1:26">
      <c r="C151" s="156" t="s">
        <v>746</v>
      </c>
      <c r="D151" s="1149" t="s">
        <v>875</v>
      </c>
      <c r="N151" s="134" t="s">
        <v>793</v>
      </c>
      <c r="O151" s="1016">
        <f>IF(O149&gt;0,O149-O150,0)</f>
        <v>0</v>
      </c>
      <c r="U151" s="124" t="s">
        <v>792</v>
      </c>
      <c r="X151" s="131" t="s">
        <v>793</v>
      </c>
      <c r="Y151" s="1016">
        <f>IF(Y150&gt;0,Y149-Y150,0)</f>
        <v>0</v>
      </c>
      <c r="Z151" s="1016">
        <f>IF(Z150&gt;0,Z149-Z150,0)</f>
        <v>0</v>
      </c>
    </row>
    <row r="152" spans="1:26">
      <c r="C152" s="156" t="s">
        <v>748</v>
      </c>
      <c r="D152" s="1149" t="s">
        <v>886</v>
      </c>
      <c r="N152" s="134" t="s">
        <v>795</v>
      </c>
      <c r="O152" s="1016">
        <f>IF(AND(O149&gt;0,SSAPhaseDownCheckbox="X",SmallIsolatedPSD8Checkbox="X"),Y155,IF(AND(O149&gt;0,SSAPhaseDownCheckbox="X",SmallIsolatedPSD8Checkbox&lt;&gt;"X"),Z155,0))</f>
        <v>0</v>
      </c>
      <c r="U152" s="124" t="s">
        <v>794</v>
      </c>
      <c r="X152" s="131" t="s">
        <v>795</v>
      </c>
      <c r="Y152" s="1016">
        <v>5.0000000000000001E-4</v>
      </c>
      <c r="Z152" s="1016">
        <v>4.0000000000000002E-4</v>
      </c>
    </row>
    <row r="153" spans="1:26">
      <c r="C153" s="156" t="s">
        <v>750</v>
      </c>
      <c r="D153" s="1149" t="s">
        <v>877</v>
      </c>
      <c r="N153" s="134" t="s">
        <v>793</v>
      </c>
      <c r="O153" s="1016">
        <f>ROUND(O151*O152,30)</f>
        <v>0</v>
      </c>
      <c r="U153" s="124" t="s">
        <v>796</v>
      </c>
      <c r="X153" s="131" t="s">
        <v>793</v>
      </c>
      <c r="Y153" s="1016">
        <f>Y151*Y152</f>
        <v>0</v>
      </c>
      <c r="Z153" s="1016">
        <f>Z151*Z152</f>
        <v>0</v>
      </c>
    </row>
    <row r="154" spans="1:26">
      <c r="C154" s="156" t="s">
        <v>819</v>
      </c>
      <c r="D154" s="1149" t="s">
        <v>878</v>
      </c>
      <c r="N154" s="134" t="s">
        <v>795</v>
      </c>
      <c r="O154" s="1056">
        <f>IF(O149&gt;0,'Data Entry'!L53,0)</f>
        <v>0</v>
      </c>
      <c r="U154" s="124" t="s">
        <v>818</v>
      </c>
      <c r="X154" s="131" t="s">
        <v>797</v>
      </c>
      <c r="Y154" s="1087">
        <v>1.468</v>
      </c>
      <c r="Z154" s="1087">
        <v>1.3979999999999999</v>
      </c>
    </row>
    <row r="155" spans="1:26">
      <c r="C155" s="156" t="s">
        <v>820</v>
      </c>
      <c r="D155" s="1149" t="s">
        <v>879</v>
      </c>
      <c r="P155" s="124" t="s">
        <v>791</v>
      </c>
      <c r="Q155" s="1136" t="s">
        <v>451</v>
      </c>
      <c r="R155" s="1137">
        <f>ROUND(O153*O154,2)</f>
        <v>0</v>
      </c>
      <c r="T155" s="124" t="s">
        <v>887</v>
      </c>
      <c r="X155" s="131" t="s">
        <v>793</v>
      </c>
      <c r="Y155" s="1016">
        <f>IF(Y150&gt;0,Y153+Y154,0)</f>
        <v>0</v>
      </c>
      <c r="Z155" s="1016">
        <f>IF(Z150&gt;0,Z153+Z154,0)</f>
        <v>0</v>
      </c>
    </row>
    <row r="156" spans="1:26">
      <c r="C156" s="156" t="s">
        <v>822</v>
      </c>
      <c r="D156" s="1149" t="s">
        <v>888</v>
      </c>
      <c r="Q156" s="1136" t="s">
        <v>451</v>
      </c>
      <c r="R156" s="1137">
        <f>IF(O149&gt;0,R148-R155,0)</f>
        <v>0</v>
      </c>
    </row>
    <row r="158" spans="1:26" ht="23.25" customHeight="1">
      <c r="A158" s="155"/>
      <c r="B158" s="1150" t="s">
        <v>24</v>
      </c>
      <c r="C158" s="1730" t="s">
        <v>889</v>
      </c>
      <c r="D158" s="1730"/>
      <c r="E158" s="1730"/>
      <c r="F158" s="1730"/>
      <c r="G158" s="1730"/>
      <c r="H158" s="1730"/>
      <c r="I158" s="1730"/>
      <c r="J158" s="1730"/>
      <c r="K158" s="1730"/>
      <c r="L158" s="1730"/>
      <c r="M158" s="1730"/>
      <c r="N158" s="1730"/>
      <c r="O158" s="1730"/>
      <c r="P158" s="157"/>
      <c r="Q158" s="1136" t="s">
        <v>451</v>
      </c>
      <c r="R158" s="1137">
        <f>SSAPDRCL10</f>
        <v>0</v>
      </c>
    </row>
    <row r="159" spans="1:26">
      <c r="B159" s="283" t="s">
        <v>51</v>
      </c>
      <c r="C159" s="124" t="s">
        <v>890</v>
      </c>
      <c r="Q159" s="1136" t="s">
        <v>451</v>
      </c>
      <c r="R159" s="1137">
        <f>R145+R156+R158</f>
        <v>0</v>
      </c>
    </row>
    <row r="160" spans="1:26">
      <c r="B160" s="283" t="s">
        <v>166</v>
      </c>
      <c r="C160" s="124" t="s">
        <v>891</v>
      </c>
      <c r="Q160" s="1136" t="s">
        <v>451</v>
      </c>
      <c r="R160" s="1137">
        <f>IF(R159&gt;0,RCL*0.1,0)</f>
        <v>0</v>
      </c>
    </row>
    <row r="161" spans="1:18">
      <c r="B161" s="283" t="s">
        <v>168</v>
      </c>
      <c r="C161" s="124" t="s">
        <v>892</v>
      </c>
      <c r="Q161" s="1136" t="s">
        <v>451</v>
      </c>
      <c r="R161" s="1137">
        <f>MAX(R159,R160)</f>
        <v>0</v>
      </c>
    </row>
    <row r="164" spans="1:18" ht="30" customHeight="1">
      <c r="A164" s="1781" t="s">
        <v>893</v>
      </c>
      <c r="B164" s="1781"/>
      <c r="C164" s="1781"/>
      <c r="D164" s="1781"/>
      <c r="E164" s="1781"/>
      <c r="F164" s="1781"/>
      <c r="G164" s="1781"/>
      <c r="H164" s="1781"/>
      <c r="I164" s="1781"/>
      <c r="J164" s="1781"/>
      <c r="K164" s="1781"/>
      <c r="L164" s="1781"/>
      <c r="M164" s="1781"/>
      <c r="N164" s="1781"/>
      <c r="O164" s="1781"/>
      <c r="P164" s="1781"/>
      <c r="Q164" s="1781"/>
      <c r="R164" s="1781"/>
    </row>
    <row r="166" spans="1:18" ht="34.5" customHeight="1">
      <c r="A166" s="1779" t="s">
        <v>894</v>
      </c>
      <c r="B166" s="1779"/>
      <c r="C166" s="1779"/>
      <c r="D166" s="1779"/>
      <c r="E166" s="1779"/>
      <c r="F166" s="1779"/>
      <c r="G166" s="1779"/>
      <c r="H166" s="1779"/>
      <c r="I166" s="1779"/>
      <c r="J166" s="1779"/>
      <c r="K166" s="1779"/>
      <c r="L166" s="1779"/>
      <c r="M166" s="1779"/>
      <c r="N166" s="1779"/>
      <c r="O166" s="1779"/>
      <c r="P166" s="1779"/>
      <c r="Q166" s="1779"/>
      <c r="R166" s="1779"/>
    </row>
    <row r="168" spans="1:18" ht="34.5" customHeight="1">
      <c r="A168" s="1730" t="s">
        <v>895</v>
      </c>
      <c r="B168" s="1730"/>
      <c r="C168" s="1730"/>
      <c r="D168" s="1730"/>
      <c r="E168" s="1730"/>
      <c r="F168" s="1730"/>
      <c r="G168" s="1730"/>
      <c r="H168" s="1730"/>
      <c r="I168" s="1730"/>
      <c r="J168" s="1730"/>
      <c r="K168" s="1730"/>
      <c r="L168" s="1730"/>
      <c r="M168" s="1730"/>
      <c r="N168" s="1730"/>
      <c r="O168" s="1730"/>
      <c r="P168" s="1730"/>
      <c r="Q168" s="1730"/>
      <c r="R168" s="1730"/>
    </row>
    <row r="170" spans="1:18">
      <c r="B170" s="283" t="s">
        <v>6</v>
      </c>
      <c r="C170" s="124" t="s">
        <v>896</v>
      </c>
    </row>
    <row r="171" spans="1:18">
      <c r="C171" s="262" t="s">
        <v>639</v>
      </c>
      <c r="D171" s="124" t="s">
        <v>872</v>
      </c>
      <c r="O171" s="1016">
        <f>IF(AND(SSAPhaseDownCheckbox="X",SSAFYExceeded&gt;=2000,UnweightedStudCntK8PY&gt;125,UnweightedStudCntK8PY&lt;181),UnweightedStudCntK8PY,0)</f>
        <v>0</v>
      </c>
    </row>
    <row r="172" spans="1:18">
      <c r="C172" s="131" t="s">
        <v>641</v>
      </c>
      <c r="D172" s="124" t="s">
        <v>873</v>
      </c>
      <c r="N172" s="134" t="s">
        <v>791</v>
      </c>
      <c r="O172" s="1016">
        <v>125</v>
      </c>
    </row>
    <row r="173" spans="1:18">
      <c r="C173" s="131" t="s">
        <v>643</v>
      </c>
      <c r="D173" s="124" t="s">
        <v>875</v>
      </c>
      <c r="N173" s="134" t="s">
        <v>793</v>
      </c>
      <c r="O173" s="1016">
        <f>IF(O171&gt;0,O171-O172,0)</f>
        <v>0</v>
      </c>
    </row>
    <row r="174" spans="1:18">
      <c r="C174" s="131" t="s">
        <v>746</v>
      </c>
      <c r="D174" s="124" t="s">
        <v>897</v>
      </c>
      <c r="N174" s="134" t="s">
        <v>795</v>
      </c>
      <c r="O174" s="1016">
        <v>4.4999999999999997E-3</v>
      </c>
    </row>
    <row r="175" spans="1:18">
      <c r="C175" s="131" t="s">
        <v>748</v>
      </c>
      <c r="D175" s="124" t="s">
        <v>898</v>
      </c>
      <c r="N175" s="134" t="s">
        <v>793</v>
      </c>
      <c r="O175" s="1016">
        <f>ROUND(O173*O174,3)</f>
        <v>0</v>
      </c>
    </row>
    <row r="176" spans="1:18">
      <c r="C176" s="131" t="s">
        <v>750</v>
      </c>
      <c r="D176" s="124" t="s">
        <v>899</v>
      </c>
      <c r="N176" s="134"/>
      <c r="O176" s="1016">
        <f>IF(O171&gt;0,0.35-O175,0)</f>
        <v>0</v>
      </c>
    </row>
    <row r="177" spans="2:25">
      <c r="C177" s="131" t="s">
        <v>819</v>
      </c>
      <c r="D177" s="1151" t="s">
        <v>900</v>
      </c>
      <c r="E177" s="1152"/>
      <c r="F177" s="1152"/>
      <c r="N177" s="134" t="s">
        <v>795</v>
      </c>
      <c r="O177" s="1056">
        <f>IF(O171&gt;0,DSLRCLPSD8,0)</f>
        <v>0</v>
      </c>
    </row>
    <row r="178" spans="2:25">
      <c r="C178" s="131" t="s">
        <v>820</v>
      </c>
      <c r="D178" s="124" t="s">
        <v>901</v>
      </c>
      <c r="Q178" s="1136" t="s">
        <v>451</v>
      </c>
      <c r="R178" s="1137">
        <f>IF(O176*O177&gt;0,ROUND(O176*O177,2),0)</f>
        <v>0</v>
      </c>
    </row>
    <row r="180" spans="2:25">
      <c r="B180" s="283" t="s">
        <v>9</v>
      </c>
      <c r="C180" s="124" t="s">
        <v>902</v>
      </c>
    </row>
    <row r="181" spans="2:25">
      <c r="C181" s="262" t="s">
        <v>639</v>
      </c>
      <c r="D181" s="124" t="s">
        <v>884</v>
      </c>
      <c r="O181" s="1016">
        <f>IF(AND(SSAPhaseDownCheckbox="X",SSAFYExceeded&gt;=2000,UnweightedStudCnt912PY&gt;100,UnweightedStudCnt912PY&lt;185),UnweightedStudCnt912PY,0)</f>
        <v>0</v>
      </c>
    </row>
    <row r="182" spans="2:25">
      <c r="C182" s="131" t="s">
        <v>641</v>
      </c>
      <c r="D182" s="124" t="s">
        <v>873</v>
      </c>
      <c r="N182" s="134" t="s">
        <v>791</v>
      </c>
      <c r="O182" s="1016">
        <v>100</v>
      </c>
    </row>
    <row r="183" spans="2:25">
      <c r="C183" s="131" t="s">
        <v>643</v>
      </c>
      <c r="D183" s="124" t="s">
        <v>875</v>
      </c>
      <c r="N183" s="134" t="s">
        <v>793</v>
      </c>
      <c r="O183" s="1016">
        <f>IF(O181&gt;0,O181-O182,0)</f>
        <v>0</v>
      </c>
    </row>
    <row r="184" spans="2:25">
      <c r="C184" s="131" t="s">
        <v>746</v>
      </c>
      <c r="D184" s="124" t="s">
        <v>897</v>
      </c>
      <c r="N184" s="134" t="s">
        <v>795</v>
      </c>
      <c r="O184" s="1016">
        <v>6.4999999999999997E-3</v>
      </c>
    </row>
    <row r="185" spans="2:25">
      <c r="C185" s="131" t="s">
        <v>748</v>
      </c>
      <c r="D185" s="124" t="s">
        <v>898</v>
      </c>
      <c r="N185" s="134" t="s">
        <v>793</v>
      </c>
      <c r="O185" s="1016">
        <f>ROUND(O183*O184,3)</f>
        <v>0</v>
      </c>
    </row>
    <row r="186" spans="2:25">
      <c r="C186" s="131" t="s">
        <v>750</v>
      </c>
      <c r="D186" s="124" t="s">
        <v>903</v>
      </c>
      <c r="N186" s="134"/>
      <c r="O186" s="1016">
        <f>IF(O181&gt;0,0.65-O185,0)</f>
        <v>0</v>
      </c>
    </row>
    <row r="187" spans="2:25">
      <c r="C187" s="131" t="s">
        <v>819</v>
      </c>
      <c r="D187" s="1151" t="s">
        <v>904</v>
      </c>
      <c r="E187" s="1151"/>
      <c r="F187" s="1151"/>
      <c r="N187" s="134" t="s">
        <v>795</v>
      </c>
      <c r="O187" s="1056">
        <f>IF(O181&gt;0,DSLRCL912,0)</f>
        <v>0</v>
      </c>
    </row>
    <row r="188" spans="2:25">
      <c r="C188" s="131" t="s">
        <v>820</v>
      </c>
      <c r="D188" s="124" t="s">
        <v>905</v>
      </c>
      <c r="Q188" s="1136" t="s">
        <v>451</v>
      </c>
      <c r="R188" s="1137">
        <f>IF(O186*O187&gt;0,ROUND(O186*O187,2),0)</f>
        <v>0</v>
      </c>
    </row>
    <row r="189" spans="2:25">
      <c r="U189" s="1737" t="s">
        <v>1344</v>
      </c>
      <c r="V189" s="1737"/>
      <c r="W189" s="1737"/>
      <c r="X189" s="1737"/>
      <c r="Y189" s="280"/>
    </row>
    <row r="190" spans="2:25" ht="23.25" customHeight="1">
      <c r="B190" s="1150" t="s">
        <v>24</v>
      </c>
      <c r="C190" s="1730" t="s">
        <v>889</v>
      </c>
      <c r="D190" s="1730"/>
      <c r="E190" s="1730"/>
      <c r="F190" s="1730"/>
      <c r="G190" s="1730"/>
      <c r="H190" s="1730"/>
      <c r="I190" s="1730"/>
      <c r="J190" s="1730"/>
      <c r="K190" s="1730"/>
      <c r="L190" s="1730"/>
      <c r="M190" s="1730"/>
      <c r="N190" s="1730"/>
      <c r="O190" s="1730"/>
      <c r="Q190" s="1136" t="s">
        <v>451</v>
      </c>
      <c r="R190" s="1137">
        <f>SSAPDRCL10</f>
        <v>0</v>
      </c>
      <c r="U190" s="1803" t="s">
        <v>906</v>
      </c>
      <c r="V190" s="1804"/>
      <c r="W190" s="1804"/>
      <c r="X190" s="1805"/>
      <c r="Y190" s="121">
        <f>IF(AND(SSAPhaseDownCheckbox="X",SSAFYExceeded&gt;=2000,UnweightedStudCnt912PY&gt;100,UnweightedStudCnt912PY&lt;185),('BSA55'!G142*RCL),0)</f>
        <v>0</v>
      </c>
    </row>
    <row r="191" spans="2:25">
      <c r="B191" s="283" t="s">
        <v>51</v>
      </c>
      <c r="C191" s="426" t="s">
        <v>907</v>
      </c>
      <c r="D191" s="426"/>
      <c r="E191" s="426"/>
      <c r="F191" s="426"/>
      <c r="G191" s="426"/>
      <c r="H191" s="426"/>
      <c r="I191" s="426"/>
      <c r="J191" s="702"/>
      <c r="Q191" s="1136" t="s">
        <v>451</v>
      </c>
      <c r="R191" s="1137">
        <f>R178+R188+R190</f>
        <v>0</v>
      </c>
      <c r="U191" s="1803" t="s">
        <v>908</v>
      </c>
      <c r="V191" s="1804"/>
      <c r="W191" s="1804"/>
      <c r="X191" s="1805"/>
      <c r="Y191" s="1153">
        <f>ROUND(IF(AND(SSAPhaseDownCheckbox="X",SSAFYExceeded&gt;=2000,UnweightedStudCnt912PY&gt;100,UnweightedStudCnt912PY&lt;185),((('BSA55'!C7*'BSA55'!F7)+('BSA55'!D7*'BSA55'!F7)+('BSA55'!E7*'BSA55'!F7))/((('BSA55'!C7*'BSA55'!F7)+('BSA55'!D7*'BSA55'!F7)+('BSA55'!E7*'BSA55'!F7)+('BSA55'!C8*'BSA55'!F8)+('BSA55'!D8*'BSA55'!F8)+('BSA55'!E8*'BSA55'!F8))+(('BSA55'!C9*'BSA55'!F9)+('BSA55'!D9*'BSA55'!F9)+('BSA55'!E9*'BSA55'!F9)))),0),10)</f>
        <v>0</v>
      </c>
    </row>
    <row r="192" spans="2:25" ht="12.75" customHeight="1">
      <c r="B192" s="283" t="s">
        <v>166</v>
      </c>
      <c r="C192" s="124" t="s">
        <v>891</v>
      </c>
      <c r="Q192" s="1136" t="s">
        <v>451</v>
      </c>
      <c r="R192" s="1137">
        <f>IF(R191&gt;0,DSLRCLTotal*0.1,0)</f>
        <v>0</v>
      </c>
      <c r="U192" s="1803" t="s">
        <v>909</v>
      </c>
      <c r="V192" s="1804"/>
      <c r="W192" s="1804"/>
      <c r="X192" s="1805"/>
      <c r="Y192" s="121">
        <f>IF(AND(SSAPhaseDownCheckbox="X",SSAFYExceeded&gt;=2000,UnweightedStudCnt912PY&gt;100,UnweightedStudCnt912PY&lt;185),RCL,0)</f>
        <v>0</v>
      </c>
    </row>
    <row r="193" spans="1:25" ht="12.75" customHeight="1">
      <c r="B193" s="283" t="s">
        <v>168</v>
      </c>
      <c r="C193" s="426" t="s">
        <v>892</v>
      </c>
      <c r="Q193" s="1136" t="s">
        <v>451</v>
      </c>
      <c r="R193" s="1137">
        <f>MAX(R191,R192)</f>
        <v>0</v>
      </c>
      <c r="U193" s="1803" t="s">
        <v>910</v>
      </c>
      <c r="V193" s="1804"/>
      <c r="W193" s="1804"/>
      <c r="X193" s="1805"/>
      <c r="Y193" s="121">
        <f>Y191*Y192</f>
        <v>0</v>
      </c>
    </row>
    <row r="194" spans="1:25">
      <c r="U194" s="1803" t="s">
        <v>911</v>
      </c>
      <c r="V194" s="1804"/>
      <c r="W194" s="1804"/>
      <c r="X194" s="1805"/>
      <c r="Y194" s="1154">
        <f>Y190-Y193</f>
        <v>0</v>
      </c>
    </row>
    <row r="195" spans="1:25">
      <c r="U195" s="1803" t="s">
        <v>912</v>
      </c>
      <c r="V195" s="1804"/>
      <c r="W195" s="1804"/>
      <c r="X195" s="1805"/>
      <c r="Y195" s="1154">
        <f>Y194*0.1</f>
        <v>0</v>
      </c>
    </row>
    <row r="198" spans="1:25" ht="32.1" customHeight="1">
      <c r="A198" s="1782" t="s">
        <v>1345</v>
      </c>
      <c r="B198" s="1782"/>
      <c r="C198" s="1782"/>
      <c r="D198" s="1782"/>
      <c r="E198" s="1782"/>
      <c r="F198" s="1782"/>
      <c r="G198" s="1782"/>
      <c r="H198" s="1782"/>
      <c r="I198" s="1782"/>
      <c r="J198" s="1782"/>
      <c r="K198" s="1782"/>
      <c r="L198" s="1782"/>
      <c r="M198" s="1782"/>
      <c r="N198" s="1782"/>
      <c r="O198" s="1782"/>
      <c r="P198" s="1782"/>
      <c r="Q198" s="1782"/>
      <c r="R198" s="1782"/>
      <c r="S198" s="1782"/>
    </row>
    <row r="200" spans="1:25" ht="24.75" customHeight="1">
      <c r="B200" s="1779" t="s">
        <v>913</v>
      </c>
      <c r="C200" s="1779"/>
      <c r="D200" s="1779"/>
      <c r="E200" s="1779"/>
      <c r="F200" s="1779"/>
      <c r="G200" s="1779"/>
      <c r="H200" s="1779"/>
      <c r="I200" s="1779"/>
      <c r="J200" s="1779"/>
      <c r="K200" s="1779"/>
      <c r="L200" s="1779"/>
      <c r="M200" s="1779"/>
      <c r="N200" s="1779"/>
      <c r="O200" s="1779"/>
      <c r="P200" s="1779"/>
      <c r="Q200" s="1779"/>
      <c r="R200" s="1779"/>
    </row>
    <row r="202" spans="1:25">
      <c r="B202" s="283" t="s">
        <v>6</v>
      </c>
      <c r="C202" s="124" t="s">
        <v>914</v>
      </c>
      <c r="R202" s="1056">
        <f>'Data Entry'!L113</f>
        <v>0</v>
      </c>
    </row>
    <row r="203" spans="1:25">
      <c r="B203" s="283" t="s">
        <v>9</v>
      </c>
      <c r="C203" s="124" t="s">
        <v>915</v>
      </c>
      <c r="Q203" s="124" t="s">
        <v>795</v>
      </c>
      <c r="R203" s="1056">
        <v>0.05</v>
      </c>
    </row>
    <row r="204" spans="1:25">
      <c r="B204" s="283" t="s">
        <v>24</v>
      </c>
      <c r="C204" s="124" t="s">
        <v>916</v>
      </c>
      <c r="Q204" s="124" t="s">
        <v>793</v>
      </c>
      <c r="R204" s="1087">
        <f>IF(R202&gt;0,R202*R203,0)</f>
        <v>0</v>
      </c>
    </row>
    <row r="205" spans="1:25" ht="23.25" customHeight="1">
      <c r="B205" s="1071" t="s">
        <v>51</v>
      </c>
      <c r="C205" s="1510" t="s">
        <v>917</v>
      </c>
      <c r="D205" s="1510"/>
      <c r="E205" s="1510"/>
      <c r="F205" s="1510"/>
      <c r="G205" s="1510"/>
      <c r="H205" s="1510"/>
      <c r="I205" s="1510"/>
      <c r="J205" s="1510"/>
      <c r="K205" s="1510"/>
      <c r="L205" s="1510"/>
      <c r="R205" s="1087">
        <f>'Data Entry'!L114</f>
        <v>0</v>
      </c>
    </row>
    <row r="207" spans="1:25">
      <c r="B207" s="152" t="s">
        <v>918</v>
      </c>
    </row>
    <row r="209" spans="2:18">
      <c r="B209" s="283" t="s">
        <v>166</v>
      </c>
      <c r="C209" s="1155" t="s">
        <v>919</v>
      </c>
      <c r="R209" s="1056">
        <f>'Data Entry'!L115</f>
        <v>0</v>
      </c>
    </row>
    <row r="210" spans="2:18">
      <c r="B210" s="283" t="s">
        <v>168</v>
      </c>
      <c r="C210" s="1155" t="s">
        <v>920</v>
      </c>
      <c r="Q210" s="134" t="s">
        <v>791</v>
      </c>
      <c r="R210" s="1056">
        <f>'Data Entry'!L116</f>
        <v>0</v>
      </c>
    </row>
    <row r="211" spans="2:18">
      <c r="B211" s="283" t="s">
        <v>170</v>
      </c>
      <c r="C211" s="1155" t="s">
        <v>921</v>
      </c>
      <c r="Q211" s="124" t="s">
        <v>793</v>
      </c>
      <c r="R211" s="1056">
        <f>IF(R209-R210&gt;0,R209-R210,0)</f>
        <v>0</v>
      </c>
    </row>
    <row r="212" spans="2:18">
      <c r="B212" s="283" t="s">
        <v>172</v>
      </c>
      <c r="C212" s="1155" t="s">
        <v>922</v>
      </c>
      <c r="L212" s="131" t="s">
        <v>923</v>
      </c>
      <c r="N212" s="131" t="s">
        <v>795</v>
      </c>
      <c r="O212" s="1056">
        <v>0.75</v>
      </c>
      <c r="Q212" s="124" t="s">
        <v>793</v>
      </c>
      <c r="R212" s="1056">
        <f>IF(OR(Cover!FiscalYear='Data Entry'!L112+1,Cover!FiscalYear='Data Entry'!L112+2,Cover!FiscalYear='Data Entry'!L112+3),R211*O212,0)</f>
        <v>0</v>
      </c>
    </row>
    <row r="213" spans="2:18">
      <c r="B213" s="283" t="s">
        <v>174</v>
      </c>
      <c r="C213" s="1155" t="s">
        <v>924</v>
      </c>
      <c r="L213" s="131" t="s">
        <v>925</v>
      </c>
      <c r="N213" s="131" t="s">
        <v>795</v>
      </c>
      <c r="O213" s="1056">
        <v>0.5</v>
      </c>
      <c r="Q213" s="124" t="s">
        <v>793</v>
      </c>
      <c r="R213" s="1056">
        <f>IF(OR(Cover!FiscalYear='Data Entry'!L112+2,Cover!FiscalYear='Data Entry'!L112+3),R211*O212,0)</f>
        <v>0</v>
      </c>
    </row>
    <row r="214" spans="2:18">
      <c r="B214" s="283" t="s">
        <v>176</v>
      </c>
      <c r="C214" s="1155" t="s">
        <v>926</v>
      </c>
      <c r="L214" s="131" t="s">
        <v>927</v>
      </c>
      <c r="N214" s="131" t="s">
        <v>795</v>
      </c>
      <c r="O214" s="1056">
        <v>0.25</v>
      </c>
      <c r="Q214" s="124" t="s">
        <v>793</v>
      </c>
      <c r="R214" s="1056">
        <f>IF(Cover!FiscalYear='Data Entry'!L112+3,R211*O212,0)</f>
        <v>0</v>
      </c>
    </row>
    <row r="215" spans="2:18">
      <c r="B215" s="283" t="s">
        <v>178</v>
      </c>
      <c r="C215" s="1155" t="s">
        <v>928</v>
      </c>
      <c r="R215" s="1056">
        <f>R212+R213+R214</f>
        <v>0</v>
      </c>
    </row>
    <row r="216" spans="2:18">
      <c r="C216" s="1155"/>
    </row>
    <row r="217" spans="2:18" ht="34.5" customHeight="1">
      <c r="B217" s="1779" t="s">
        <v>929</v>
      </c>
      <c r="C217" s="1779"/>
      <c r="D217" s="1779"/>
      <c r="E217" s="1779"/>
      <c r="F217" s="1779"/>
      <c r="G217" s="1779"/>
      <c r="H217" s="1779"/>
      <c r="I217" s="1779"/>
      <c r="J217" s="1779"/>
      <c r="K217" s="1779"/>
      <c r="L217" s="1779"/>
      <c r="M217" s="1779"/>
      <c r="N217" s="1779"/>
      <c r="O217" s="1779"/>
      <c r="P217" s="1779"/>
      <c r="Q217" s="1779"/>
      <c r="R217" s="1779"/>
    </row>
    <row r="219" spans="2:18">
      <c r="B219" s="283" t="s">
        <v>180</v>
      </c>
      <c r="C219" s="124" t="s">
        <v>930</v>
      </c>
    </row>
    <row r="220" spans="2:18">
      <c r="C220" s="131" t="s">
        <v>639</v>
      </c>
      <c r="D220" s="1155" t="s">
        <v>931</v>
      </c>
      <c r="Q220" s="1136" t="s">
        <v>451</v>
      </c>
      <c r="R220" s="1137">
        <f>IF(AND('Data Entry'!C118="X",'Data Entry'!L114&gt;=500,Cover!FiscalYear='Data Entry'!L112+1),650000,0)</f>
        <v>0</v>
      </c>
    </row>
    <row r="221" spans="2:18">
      <c r="C221" s="131" t="s">
        <v>641</v>
      </c>
      <c r="D221" s="1155" t="s">
        <v>932</v>
      </c>
      <c r="Q221" s="1136" t="s">
        <v>451</v>
      </c>
      <c r="R221" s="1137">
        <f>IF(AND('Data Entry'!C118="X",'Data Entry'!L114&gt;=500,Cover!FiscalYear='Data Entry'!L112+2),600000,0)</f>
        <v>0</v>
      </c>
    </row>
    <row r="222" spans="2:18">
      <c r="C222" s="131" t="s">
        <v>643</v>
      </c>
      <c r="D222" s="1155" t="s">
        <v>933</v>
      </c>
      <c r="Q222" s="1136" t="s">
        <v>451</v>
      </c>
      <c r="R222" s="1137">
        <f>IF(AND('Data Entry'!C118="X",'Data Entry'!L114&gt;=500,Cover!FiscalYear='Data Entry'!L112+3),500000,0)</f>
        <v>0</v>
      </c>
    </row>
    <row r="223" spans="2:18">
      <c r="C223" s="131" t="s">
        <v>746</v>
      </c>
      <c r="D223" s="1155" t="s">
        <v>934</v>
      </c>
      <c r="Q223" s="1136" t="s">
        <v>451</v>
      </c>
      <c r="R223" s="1137">
        <f>IF(AND('Data Entry'!C118="X",'Data Entry'!L114&gt;=500,Cover!FiscalYear='Data Entry'!L112+4),300000,0)</f>
        <v>0</v>
      </c>
    </row>
    <row r="224" spans="2:18">
      <c r="C224" s="131" t="s">
        <v>748</v>
      </c>
      <c r="D224" s="1155" t="s">
        <v>935</v>
      </c>
      <c r="Q224" s="1136" t="s">
        <v>451</v>
      </c>
      <c r="R224" s="1137">
        <f>IF(AND('Data Entry'!C118="X",'Data Entry'!L114&gt;=500,Cover!FiscalYear='Data Entry'!L112+5),100000,0)</f>
        <v>0</v>
      </c>
    </row>
    <row r="225" spans="1:18">
      <c r="B225" s="283" t="s">
        <v>182</v>
      </c>
      <c r="C225" s="124" t="s">
        <v>936</v>
      </c>
    </row>
    <row r="226" spans="1:18">
      <c r="C226" s="131" t="s">
        <v>639</v>
      </c>
      <c r="D226" s="1155" t="s">
        <v>937</v>
      </c>
      <c r="Q226" s="1136" t="s">
        <v>451</v>
      </c>
      <c r="R226" s="1137">
        <f>IF(AND(VALUE(LEFT(RIGHT(O1,7),2))=5,'Data Entry'!C118="X",'Data Entry'!L114&gt;=50,Cover!FiscalYear='Data Entry'!L112+1),100000,0)</f>
        <v>0</v>
      </c>
    </row>
    <row r="227" spans="1:18">
      <c r="C227" s="131" t="s">
        <v>641</v>
      </c>
      <c r="D227" s="1155" t="s">
        <v>938</v>
      </c>
      <c r="Q227" s="1136" t="s">
        <v>451</v>
      </c>
      <c r="R227" s="1137">
        <f>IF(AND(VALUE(LEFT(RIGHT(O1,7),2))=5,'Data Entry'!C118="X",'Data Entry'!L120&gt;=50,Cover!FiscalYear='Data Entry'!L112+2),200000,0)</f>
        <v>0</v>
      </c>
    </row>
    <row r="228" spans="1:18">
      <c r="C228" s="131" t="s">
        <v>643</v>
      </c>
      <c r="D228" s="1155" t="s">
        <v>939</v>
      </c>
      <c r="Q228" s="1136" t="s">
        <v>451</v>
      </c>
      <c r="R228" s="1137">
        <f>IF(AND(VALUE(LEFT(RIGHT(O1,7),2))=5,'Data Entry'!C118="X",'Data Entry'!L121&gt;=50,Cover!FiscalYear='Data Entry'!L112+3),325000,0)</f>
        <v>0</v>
      </c>
    </row>
    <row r="229" spans="1:18">
      <c r="C229" s="131" t="s">
        <v>746</v>
      </c>
      <c r="D229" s="1155" t="s">
        <v>940</v>
      </c>
      <c r="Q229" s="1136" t="s">
        <v>451</v>
      </c>
      <c r="R229" s="1137">
        <f>IF(AND(VALUE(LEFT(RIGHT(O1,7),2))=5,'Data Entry'!C118="X",Cover!FiscalYear='Data Entry'!L112+4),200000,0)</f>
        <v>0</v>
      </c>
    </row>
    <row r="230" spans="1:18">
      <c r="C230" s="131" t="s">
        <v>748</v>
      </c>
      <c r="D230" s="1155" t="s">
        <v>941</v>
      </c>
      <c r="Q230" s="1136" t="s">
        <v>451</v>
      </c>
      <c r="R230" s="1137">
        <f>IF(AND(VALUE(LEFT(RIGHT(O1,7),2))=5,'Data Entry'!C118="X",Cover!FiscalYear='Data Entry'!L112+5),100000,0)</f>
        <v>0</v>
      </c>
    </row>
    <row r="233" spans="1:18" ht="15.75" customHeight="1">
      <c r="A233" s="1094" t="s">
        <v>942</v>
      </c>
      <c r="B233" s="1094"/>
      <c r="C233" s="1094"/>
      <c r="D233" s="1094"/>
      <c r="E233" s="1094"/>
      <c r="F233" s="1094"/>
      <c r="G233" s="1094"/>
      <c r="H233" s="1094"/>
      <c r="I233" s="1094"/>
      <c r="J233" s="1094"/>
      <c r="K233" s="1094"/>
      <c r="L233" s="1094"/>
    </row>
    <row r="234" spans="1:18" ht="8.25" customHeight="1"/>
    <row r="235" spans="1:18">
      <c r="B235" s="283" t="s">
        <v>6</v>
      </c>
      <c r="C235" s="1156" t="s">
        <v>943</v>
      </c>
      <c r="Q235" s="1136" t="s">
        <v>451</v>
      </c>
      <c r="R235" s="1137">
        <f>F001P530</f>
        <v>0</v>
      </c>
    </row>
    <row r="236" spans="1:18">
      <c r="B236" s="283" t="s">
        <v>9</v>
      </c>
      <c r="C236" s="1157" t="s">
        <v>944</v>
      </c>
      <c r="Q236" s="1136" t="s">
        <v>451</v>
      </c>
      <c r="R236" s="1137">
        <f>R215+(IF(AND(Cover!FiscalYear='Data Entry'!L112+1,(R220+R226)&gt;0),R220+R226,IF(AND(Cover!FiscalYear='Data Entry'!L112+2,(R221+R227)&gt;0),R221+R227,IF(AND(Cover!FiscalYear='Data Entry'!L112+3,(R222+R228)&gt;0),R222+R228,IF(AND(Cover!FiscalYear='Data Entry'!L112+4,(R223+R229)&gt;0),R223+R229,IF(AND(Cover!FiscalYear='Data Entry'!L112+5,(R224+R230)&gt;0),R224+R230,0))))))</f>
        <v>0</v>
      </c>
    </row>
    <row r="237" spans="1:18">
      <c r="B237" s="283" t="s">
        <v>24</v>
      </c>
      <c r="C237" s="1156" t="s">
        <v>945</v>
      </c>
      <c r="Q237" s="1136" t="s">
        <v>451</v>
      </c>
      <c r="R237" s="1137">
        <f>'Truth in Tax'!I31</f>
        <v>0</v>
      </c>
    </row>
    <row r="238" spans="1:18">
      <c r="B238" s="283" t="s">
        <v>51</v>
      </c>
      <c r="C238" s="1156" t="s">
        <v>946</v>
      </c>
      <c r="Q238" s="1136" t="s">
        <v>451</v>
      </c>
      <c r="R238" s="1137">
        <f>F001P540</f>
        <v>0</v>
      </c>
    </row>
    <row r="239" spans="1:18">
      <c r="B239" s="283" t="s">
        <v>166</v>
      </c>
      <c r="C239" s="1156" t="s">
        <v>947</v>
      </c>
      <c r="Q239" s="1136" t="s">
        <v>451</v>
      </c>
      <c r="R239" s="1137">
        <f>'Truth in Tax'!I29</f>
        <v>0</v>
      </c>
    </row>
    <row r="240" spans="1:18" ht="23.25" customHeight="1">
      <c r="B240" s="1071" t="s">
        <v>168</v>
      </c>
      <c r="C240" s="1510" t="s">
        <v>948</v>
      </c>
      <c r="D240" s="1510"/>
      <c r="E240" s="1510"/>
      <c r="F240" s="1510"/>
      <c r="G240" s="1510"/>
      <c r="H240" s="1510"/>
      <c r="I240" s="1510"/>
      <c r="J240" s="1510"/>
      <c r="K240" s="1510"/>
      <c r="L240" s="1510"/>
      <c r="Q240" s="1136" t="s">
        <v>451</v>
      </c>
      <c r="R240" s="1137">
        <f>IF(AND(SSA_MO&lt;=50000,OR('Data Entry'!Y17=1,'Data Entry'!Z17=1)),SSA_MO,0)</f>
        <v>0</v>
      </c>
    </row>
  </sheetData>
  <sheetProtection sheet="1" formatCells="0" formatColumns="0" formatRows="0"/>
  <mergeCells count="64">
    <mergeCell ref="U195:X195"/>
    <mergeCell ref="U189:X189"/>
    <mergeCell ref="U190:X190"/>
    <mergeCell ref="U191:X191"/>
    <mergeCell ref="U192:X192"/>
    <mergeCell ref="U193:X193"/>
    <mergeCell ref="U194:X194"/>
    <mergeCell ref="T137:U137"/>
    <mergeCell ref="T148:U148"/>
    <mergeCell ref="C147:Q147"/>
    <mergeCell ref="C158:O158"/>
    <mergeCell ref="A166:R166"/>
    <mergeCell ref="T39:V40"/>
    <mergeCell ref="J11:K11"/>
    <mergeCell ref="J12:K12"/>
    <mergeCell ref="J13:K13"/>
    <mergeCell ref="J14:K14"/>
    <mergeCell ref="J15:K15"/>
    <mergeCell ref="T33:V33"/>
    <mergeCell ref="J31:K31"/>
    <mergeCell ref="J28:K28"/>
    <mergeCell ref="L1:N1"/>
    <mergeCell ref="I1:K1"/>
    <mergeCell ref="A1:D1"/>
    <mergeCell ref="E1:G1"/>
    <mergeCell ref="N95:O95"/>
    <mergeCell ref="N91:O91"/>
    <mergeCell ref="H9:I10"/>
    <mergeCell ref="J25:K25"/>
    <mergeCell ref="J9:L10"/>
    <mergeCell ref="J16:K16"/>
    <mergeCell ref="J20:K20"/>
    <mergeCell ref="J23:K23"/>
    <mergeCell ref="J17:K17"/>
    <mergeCell ref="F4:I4"/>
    <mergeCell ref="J26:K26"/>
    <mergeCell ref="J27:K27"/>
    <mergeCell ref="A198:S198"/>
    <mergeCell ref="K95:L95"/>
    <mergeCell ref="A168:R168"/>
    <mergeCell ref="C91:I91"/>
    <mergeCell ref="C104:J104"/>
    <mergeCell ref="C123:N123"/>
    <mergeCell ref="A134:R134"/>
    <mergeCell ref="C120:L121"/>
    <mergeCell ref="C126:J126"/>
    <mergeCell ref="A132:R132"/>
    <mergeCell ref="C190:O190"/>
    <mergeCell ref="C240:L240"/>
    <mergeCell ref="J18:K18"/>
    <mergeCell ref="J19:K19"/>
    <mergeCell ref="J32:K32"/>
    <mergeCell ref="J21:K21"/>
    <mergeCell ref="J22:K22"/>
    <mergeCell ref="J30:K30"/>
    <mergeCell ref="J24:K24"/>
    <mergeCell ref="J33:K33"/>
    <mergeCell ref="J29:K29"/>
    <mergeCell ref="B217:R217"/>
    <mergeCell ref="C205:L205"/>
    <mergeCell ref="B200:R200"/>
    <mergeCell ref="Q95:R95"/>
    <mergeCell ref="A82:S82"/>
    <mergeCell ref="A164:R164"/>
  </mergeCells>
  <hyperlinks>
    <hyperlink ref="D177" r:id="rId1" display="G. K-8 Revenue Control Limit (2)"/>
    <hyperlink ref="D187" r:id="rId2" display="G. 9-12 Revenue Control Limit"/>
    <hyperlink ref="B84" location="BUDG75Adj" display="2."/>
    <hyperlink ref="B90" location="PYTotMOActExpend" display="8."/>
    <hyperlink ref="B95" location="PYActExpend" display="10."/>
    <hyperlink ref="C108" location="PYEndMOCash" display="a."/>
    <hyperlink ref="C113" location="AccommRCL10" display="b."/>
    <hyperlink ref="C114" location="AccommRCL05" display="c."/>
    <hyperlink ref="B119" location="CYIARev" display="1."/>
    <hyperlink ref="B120" location="CYIARevBondDS" display="2."/>
    <hyperlink ref="B123" location="CYIAMOTRCL" display="4."/>
    <hyperlink ref="B124" location="CYIAMOTax" display="5."/>
    <hyperlink ref="B125" location="PYIAEndCash" display="6."/>
    <hyperlink ref="B158" location="SSAPDRCL10" display="3."/>
    <hyperlink ref="B190" location="SSAPDRCL10" display="3."/>
  </hyperlinks>
  <printOptions horizontalCentered="1"/>
  <pageMargins left="0.2" right="0.2" top="0.25" bottom="0.25" header="0.5" footer="0.25"/>
  <pageSetup paperSize="5" scale="65" orientation="portrait" r:id="rId3"/>
  <headerFooter>
    <oddFooter>&amp;L&amp;"Times New Roman,Bold"Rev. 5/23 Arizona Department of Education and Auditor General&amp;R&amp;"Times New Roman,Bold"Page &amp;P of &amp;N</oddFooter>
  </headerFooter>
  <rowBreaks count="2" manualBreakCount="2">
    <brk id="117" max="18" man="1"/>
    <brk id="194" max="18" man="1"/>
  </rowBreaks>
  <colBreaks count="1" manualBreakCount="1">
    <brk id="19" max="1048575" man="1"/>
  </colBreaks>
  <drawing r:id="rId4"/>
</worksheet>
</file>

<file path=xl/worksheets/sheet17.xml><?xml version="1.0" encoding="utf-8"?>
<worksheet xmlns="http://schemas.openxmlformats.org/spreadsheetml/2006/main" xmlns:r="http://schemas.openxmlformats.org/officeDocument/2006/relationships">
  <dimension ref="A1:AB344"/>
  <sheetViews>
    <sheetView showGridLines="0" topLeftCell="A160" workbookViewId="0">
      <selection activeCell="C21" sqref="C21"/>
    </sheetView>
  </sheetViews>
  <sheetFormatPr defaultColWidth="8.90625" defaultRowHeight="15" customHeight="1"/>
  <cols>
    <col min="1" max="1" width="34.90625" style="127" customWidth="1"/>
    <col min="2" max="2" width="9.90625" style="127" customWidth="1"/>
    <col min="3" max="4" width="9.08984375" style="127" customWidth="1"/>
    <col min="5" max="5" width="11.90625" style="127" customWidth="1"/>
    <col min="6" max="6" width="13.90625" style="127" customWidth="1"/>
    <col min="7" max="7" width="11.90625" style="127" customWidth="1"/>
    <col min="8" max="8" width="11.453125" style="127" customWidth="1"/>
    <col min="9" max="9" width="10.90625" style="127" customWidth="1"/>
    <col min="10" max="10" width="10.08984375" style="127" customWidth="1"/>
    <col min="11" max="11" width="10.90625" style="127" customWidth="1"/>
    <col min="12" max="12" width="15.453125" style="127" bestFit="1" customWidth="1"/>
    <col min="13" max="13" width="10.08984375" style="166" bestFit="1" customWidth="1"/>
    <col min="14" max="26" width="8.90625" style="127" customWidth="1"/>
    <col min="27" max="27" width="8.90625" style="193" customWidth="1"/>
    <col min="28" max="29" width="8.90625" style="127" customWidth="1"/>
    <col min="30" max="16384" width="8.90625" style="127"/>
  </cols>
  <sheetData>
    <row r="1" spans="1:27" ht="15" customHeight="1">
      <c r="A1" s="1158" t="s">
        <v>669</v>
      </c>
      <c r="B1" s="1810" t="str">
        <f>DistrictName</f>
        <v>Valley Union High School District</v>
      </c>
      <c r="C1" s="1810"/>
      <c r="D1" s="1810"/>
      <c r="E1" s="1810"/>
      <c r="F1" s="1158" t="s">
        <v>670</v>
      </c>
      <c r="G1" s="1809" t="str">
        <f>Cover!H1</f>
        <v>Cochise</v>
      </c>
      <c r="H1" s="1810"/>
      <c r="I1" s="1810"/>
      <c r="K1" s="1158" t="s">
        <v>671</v>
      </c>
      <c r="L1" s="1811" t="str">
        <f>CTD</f>
        <v>020522000</v>
      </c>
      <c r="M1" s="1811"/>
      <c r="AA1" s="166"/>
    </row>
    <row r="2" spans="1:27" ht="15" customHeight="1">
      <c r="A2" s="614"/>
      <c r="B2" s="614"/>
      <c r="C2" s="510"/>
      <c r="D2" s="134"/>
      <c r="E2" s="614"/>
      <c r="F2" s="510"/>
      <c r="G2" s="134"/>
      <c r="H2" s="134"/>
      <c r="I2" s="124"/>
      <c r="K2" s="1158" t="s">
        <v>18</v>
      </c>
      <c r="L2" s="1804" t="str">
        <f>Version</f>
        <v>Proposed</v>
      </c>
      <c r="M2" s="1804"/>
      <c r="AA2" s="166"/>
    </row>
    <row r="3" spans="1:27" ht="15" customHeight="1">
      <c r="B3" s="1159"/>
      <c r="C3" s="1159"/>
      <c r="D3" s="1446" t="str">
        <f>IF(DistrictName&lt;&gt;0,DistrictName,"")</f>
        <v>Valley Union High School District</v>
      </c>
      <c r="E3" s="1446"/>
      <c r="F3" s="1446"/>
      <c r="G3" s="1446"/>
      <c r="H3" s="1446"/>
      <c r="I3" s="1159"/>
      <c r="J3" s="1159"/>
      <c r="K3" s="1159"/>
      <c r="L3" s="1159"/>
      <c r="M3" s="1159"/>
      <c r="AA3" s="166"/>
    </row>
    <row r="4" spans="1:27" ht="34.5" customHeight="1">
      <c r="B4" s="452"/>
      <c r="C4" s="452"/>
      <c r="D4" s="1807" t="s">
        <v>949</v>
      </c>
      <c r="E4" s="1807"/>
      <c r="F4" s="1807"/>
      <c r="G4" s="1807"/>
      <c r="H4" s="1807"/>
      <c r="I4" s="452"/>
      <c r="J4" s="452"/>
      <c r="K4" s="452"/>
      <c r="L4" s="452"/>
      <c r="M4" s="452"/>
      <c r="AA4" s="166"/>
    </row>
    <row r="5" spans="1:27" ht="15" customHeight="1" thickBot="1">
      <c r="A5" s="1129"/>
      <c r="B5" s="1129"/>
      <c r="C5" s="1160"/>
      <c r="D5" s="1160"/>
      <c r="E5" s="1129"/>
      <c r="F5" s="1161" t="s">
        <v>950</v>
      </c>
      <c r="G5" s="1162" t="str">
        <f>IF(AND(SmallIsolatedPSD8Checkbox="X",SmallIsolated912Checkbox="X"),"Both Elementary and High School",IF(SmallIsolatedPSD8Checkbox="X","Elementary",IF(SmallIsolated912Checkbox="X","High School","Not Isolated")))</f>
        <v>Not Isolated</v>
      </c>
      <c r="H5" s="1129"/>
      <c r="I5" s="1129"/>
      <c r="J5" s="1129"/>
      <c r="K5" s="1160"/>
      <c r="L5" s="1163" t="s">
        <v>951</v>
      </c>
      <c r="M5" s="1163" t="s">
        <v>952</v>
      </c>
      <c r="AA5" s="166"/>
    </row>
    <row r="6" spans="1:27" ht="26.25" customHeight="1">
      <c r="A6" s="1164" t="s">
        <v>953</v>
      </c>
      <c r="B6" s="124"/>
      <c r="C6" s="1165" t="s">
        <v>954</v>
      </c>
      <c r="D6" s="1165" t="s">
        <v>955</v>
      </c>
      <c r="E6" s="1165" t="s">
        <v>956</v>
      </c>
      <c r="F6" s="1165" t="s">
        <v>787</v>
      </c>
      <c r="G6" s="1165" t="s">
        <v>957</v>
      </c>
      <c r="H6" s="1165" t="s">
        <v>958</v>
      </c>
      <c r="I6" s="1165" t="s">
        <v>959</v>
      </c>
      <c r="AA6" s="166"/>
    </row>
    <row r="7" spans="1:27" ht="15" customHeight="1">
      <c r="A7" s="1166" t="s">
        <v>681</v>
      </c>
      <c r="B7" s="124"/>
      <c r="C7" s="1167">
        <f>NonAOIStudCntPSDCY</f>
        <v>0</v>
      </c>
      <c r="D7" s="1167">
        <f>AOIFTStudCntPSDCY</f>
        <v>0</v>
      </c>
      <c r="E7" s="1168">
        <f>AOIPTStudCntPSDCY</f>
        <v>0</v>
      </c>
      <c r="F7" s="1169">
        <f>IF(AND(C7=0,D7=0,E7=0),0,1.45)</f>
        <v>0</v>
      </c>
      <c r="G7" s="1168">
        <f>NonAOIStudCntPSDCY*F7</f>
        <v>0</v>
      </c>
      <c r="H7" s="1168">
        <f>AOIFTStudCntPSDCY*F7</f>
        <v>0</v>
      </c>
      <c r="I7" s="1168">
        <f>AOIPTStudCntPSDCY*F7</f>
        <v>0</v>
      </c>
      <c r="AA7" s="166"/>
    </row>
    <row r="8" spans="1:27" ht="15" customHeight="1">
      <c r="A8" s="1166" t="s">
        <v>960</v>
      </c>
      <c r="B8" s="124"/>
      <c r="C8" s="1167">
        <f>NonAOIStudCntK8CY</f>
        <v>0</v>
      </c>
      <c r="D8" s="1167">
        <f>AOIFTStudCntK8CY</f>
        <v>0</v>
      </c>
      <c r="E8" s="1168">
        <f>AOIPTStudCntK8CY</f>
        <v>0</v>
      </c>
      <c r="F8" s="1169">
        <f>IF(UnweightedStudCntK8CY&gt;0,AA13,0)</f>
        <v>0</v>
      </c>
      <c r="G8" s="1168">
        <f>NonAOIStudCntK8CY*F8</f>
        <v>0</v>
      </c>
      <c r="H8" s="1168">
        <f>AOIFTStudCntK8CY*F8</f>
        <v>0</v>
      </c>
      <c r="I8" s="1168">
        <f>AOIPTStudCntK8CY*F8</f>
        <v>0</v>
      </c>
      <c r="AA8" s="166"/>
    </row>
    <row r="9" spans="1:27" ht="15" customHeight="1">
      <c r="A9" s="1166" t="s">
        <v>683</v>
      </c>
      <c r="B9" s="124"/>
      <c r="C9" s="1167">
        <f>NonAOIStudCnt912CY</f>
        <v>82</v>
      </c>
      <c r="D9" s="1170">
        <f>AOIFTStudCnt912CY</f>
        <v>0</v>
      </c>
      <c r="E9" s="1168">
        <f>AOIPTStudCnt912CY</f>
        <v>0</v>
      </c>
      <c r="F9" s="1169">
        <f>IF(VALUE(LEFT(RIGHT(L1,7),2))=8,SuppLvlWgt912NonIsolated,IF(UnweightedStudCnt912CY&gt;0,AA15,0))</f>
        <v>1.5589999999999999</v>
      </c>
      <c r="G9" s="1168">
        <f>NonAOIStudCnt912CY*F9</f>
        <v>127.83799999999999</v>
      </c>
      <c r="H9" s="1171">
        <f>AOIFTStudCnt912CY*F9</f>
        <v>0</v>
      </c>
      <c r="I9" s="1168">
        <f>AOIPTStudCnt912CY*F9</f>
        <v>0</v>
      </c>
      <c r="AA9" s="166"/>
    </row>
    <row r="10" spans="1:27" ht="15" customHeight="1">
      <c r="A10" s="374" t="s">
        <v>961</v>
      </c>
      <c r="B10" s="124"/>
      <c r="C10" s="1172">
        <f>TotalNonAOIStudCntCY</f>
        <v>82</v>
      </c>
      <c r="D10" s="1172">
        <f>TotalAOIFTStudCntCY</f>
        <v>0</v>
      </c>
      <c r="E10" s="1173">
        <f>TotalAOIPTStudCntCY</f>
        <v>0</v>
      </c>
      <c r="F10" s="1168"/>
      <c r="G10" s="1168"/>
      <c r="H10" s="1171"/>
      <c r="I10" s="1168"/>
      <c r="AA10" s="166"/>
    </row>
    <row r="11" spans="1:27" ht="15" customHeight="1">
      <c r="A11" s="374" t="s">
        <v>962</v>
      </c>
      <c r="B11" s="124"/>
      <c r="C11" s="1168"/>
      <c r="D11" s="1168"/>
      <c r="E11" s="1173">
        <f>SUM(C10:E10)</f>
        <v>82</v>
      </c>
      <c r="F11" s="1168"/>
      <c r="G11" s="1168"/>
      <c r="H11" s="1168"/>
      <c r="I11" s="1168"/>
      <c r="AA11" s="166"/>
    </row>
    <row r="12" spans="1:27" ht="15" customHeight="1">
      <c r="A12" s="374" t="s">
        <v>963</v>
      </c>
      <c r="B12" s="124"/>
      <c r="C12" s="1168"/>
      <c r="D12" s="1168"/>
      <c r="E12" s="1168"/>
      <c r="F12" s="1168"/>
      <c r="G12" s="1173">
        <f>((C7*F7)+(C8*F8)+(C9*F9))</f>
        <v>127.83799999999999</v>
      </c>
      <c r="H12" s="1173">
        <f>((D7*F7)+(D8*F8)+(D9*F9))</f>
        <v>0</v>
      </c>
      <c r="I12" s="1173">
        <f>((E7*F7)+(E8*F8)+(E9*F9))</f>
        <v>0</v>
      </c>
      <c r="AA12" s="166"/>
    </row>
    <row r="13" spans="1:27" ht="15" customHeight="1">
      <c r="A13" s="1174" t="s">
        <v>964</v>
      </c>
      <c r="B13" s="282"/>
      <c r="C13" s="1171"/>
      <c r="D13" s="1171"/>
      <c r="E13" s="1171"/>
      <c r="F13" s="1171"/>
      <c r="G13" s="1171"/>
      <c r="H13" s="1171"/>
      <c r="I13" s="1175">
        <f>(((C7+D7+E7)*F7)+((C8+D8+E8)*F8)+((C9+D9+E9)*F9))</f>
        <v>127.83799999999999</v>
      </c>
      <c r="J13" s="186"/>
      <c r="K13" s="186"/>
      <c r="L13" s="186"/>
      <c r="M13" s="1176"/>
      <c r="AA13" s="1177">
        <f>IF(AND('Data Entry'!H22&lt;100,SmallIsolatedPSD8Checkbox="X"),Calculations!H13,IF(AND('Data Entry'!H22&lt;100,SmallIsolatedPSD8Checkbox&lt;&gt;"X"),Calculations!J13,IF(AND('Data Entry'!H22&gt;=100,'Data Entry'!H22&lt;500,SmallIsolatedPSD8Checkbox="X"),Calculations!H21,IF(AND('Data Entry'!H22&gt;=100,'Data Entry'!H22&lt;500,SmallIsolatedPSD8Checkbox&lt;&gt;"X"),Calculations!J21,IF(AND('Data Entry'!H22&gt;=500,'Data Entry'!H22&lt;600,SmallIsolatedPSD8Checkbox="X"),Calculations!H29,IF(AND('Data Entry'!H22&gt;=500,'Data Entry'!H22&lt;600,SmallIsolatedPSD8Checkbox&lt;&gt;"X"),Calculations!J29,IF('Data Entry'!H22&gt;=600,Calculations!J31,0)))))))</f>
        <v>1.399</v>
      </c>
    </row>
    <row r="14" spans="1:27" ht="7.5" customHeight="1" thickBot="1">
      <c r="A14" s="1178"/>
      <c r="B14" s="1129"/>
      <c r="C14" s="1179"/>
      <c r="D14" s="1179"/>
      <c r="E14" s="1179"/>
      <c r="F14" s="1179"/>
      <c r="G14" s="1179"/>
      <c r="H14" s="1179"/>
      <c r="I14" s="1180"/>
      <c r="J14" s="1160"/>
      <c r="K14" s="1160"/>
      <c r="L14" s="1160"/>
      <c r="M14" s="1181"/>
      <c r="AA14" s="1182"/>
    </row>
    <row r="15" spans="1:27" s="186" customFormat="1" ht="7.5" customHeight="1">
      <c r="A15" s="282"/>
      <c r="B15" s="282"/>
      <c r="C15" s="282"/>
      <c r="D15" s="282"/>
      <c r="E15" s="282"/>
      <c r="F15" s="282"/>
      <c r="G15" s="282"/>
      <c r="H15" s="282"/>
      <c r="I15" s="282"/>
      <c r="M15" s="1176"/>
      <c r="AA15" s="1183">
        <f>IF(AND('Data Entry'!I22&lt;100,SmallIsolated912Checkbox="X"),Calculations!I13,IF(AND('Data Entry'!I22&lt;100,SmallIsolated912Checkbox&lt;&gt;"X"),Calculations!L13,IF(AND('Data Entry'!I22&gt;=100,'Data Entry'!I22&lt;500,SmallIsolated912Checkbox="X"),Calculations!I21,IF(AND('Data Entry'!I22&gt;=100,'Data Entry'!I22&lt;500,SmallIsolated912Checkbox&lt;&gt;"X"),Calculations!L21,IF(AND('Data Entry'!I22&gt;=500,'Data Entry'!I22&lt;600,SmallIsolated912Checkbox="X"),Calculations!I29,IF(AND('Data Entry'!I22&gt;=500,'Data Entry'!I22&lt;600,SmallIsolated912Checkbox&lt;&gt;"X"),Calculations!L29,IF('Data Entry'!I22&gt;=600,Calculations!L31,0)))))))</f>
        <v>1.5589999999999999</v>
      </c>
    </row>
    <row r="16" spans="1:27" ht="26.25" customHeight="1">
      <c r="A16" s="1184" t="s">
        <v>965</v>
      </c>
      <c r="B16" s="356"/>
      <c r="C16" s="1165" t="s">
        <v>954</v>
      </c>
      <c r="D16" s="1165" t="s">
        <v>955</v>
      </c>
      <c r="E16" s="1165" t="s">
        <v>956</v>
      </c>
      <c r="F16" s="1165" t="s">
        <v>787</v>
      </c>
      <c r="G16" s="1165" t="s">
        <v>957</v>
      </c>
      <c r="H16" s="1165" t="s">
        <v>958</v>
      </c>
      <c r="I16" s="1165" t="s">
        <v>959</v>
      </c>
      <c r="AA16" s="166"/>
    </row>
    <row r="17" spans="1:27" ht="15" customHeight="1">
      <c r="A17" s="379" t="s">
        <v>699</v>
      </c>
      <c r="B17" s="356"/>
      <c r="C17" s="1168">
        <f>NonAOIStudCntELL</f>
        <v>0</v>
      </c>
      <c r="D17" s="1168">
        <f>AOIFTStudCntELL</f>
        <v>0</v>
      </c>
      <c r="E17" s="1168">
        <f>AOIPTStudCntELL</f>
        <v>0</v>
      </c>
      <c r="F17" s="1169">
        <v>0.115</v>
      </c>
      <c r="G17" s="1168">
        <f>NonAOIStudCntELL*F17</f>
        <v>0</v>
      </c>
      <c r="H17" s="1168">
        <f>AOIFTStudCntELL*F17</f>
        <v>0</v>
      </c>
      <c r="I17" s="1168">
        <f>AOIPTStudCntELL*F17</f>
        <v>0</v>
      </c>
      <c r="AA17" s="166"/>
    </row>
    <row r="18" spans="1:27" ht="15" customHeight="1">
      <c r="A18" s="379" t="s">
        <v>698</v>
      </c>
      <c r="B18" s="356"/>
      <c r="C18" s="1168">
        <f>NonAOIStudCntK3</f>
        <v>0</v>
      </c>
      <c r="D18" s="1168">
        <f>AOIFTStudCntK3</f>
        <v>0</v>
      </c>
      <c r="E18" s="1168">
        <f>AOIPTStudCntK3</f>
        <v>0</v>
      </c>
      <c r="F18" s="1169">
        <v>0.06</v>
      </c>
      <c r="G18" s="1168">
        <f>NonAOIStudCntK3*F18</f>
        <v>0</v>
      </c>
      <c r="H18" s="1168">
        <f>AOIFTStudCntK3*F18</f>
        <v>0</v>
      </c>
      <c r="I18" s="1168">
        <f>AOIPTStudCntK3*F18</f>
        <v>0</v>
      </c>
      <c r="AA18" s="166"/>
    </row>
    <row r="19" spans="1:27" ht="15" customHeight="1">
      <c r="A19" s="379" t="s">
        <v>966</v>
      </c>
      <c r="B19" s="356"/>
      <c r="C19" s="1168">
        <f>NonAOIStudCntK3R</f>
        <v>0</v>
      </c>
      <c r="D19" s="1168">
        <f>AOIFTStudCntK3R</f>
        <v>0</v>
      </c>
      <c r="E19" s="1168">
        <f>AOIPTStudCntK3R</f>
        <v>0</v>
      </c>
      <c r="F19" s="1169">
        <v>0.04</v>
      </c>
      <c r="G19" s="1168">
        <f>NonAOIStudCntK3R*F19</f>
        <v>0</v>
      </c>
      <c r="H19" s="1168">
        <f>AOIFTStudCntK3R*F19</f>
        <v>0</v>
      </c>
      <c r="I19" s="1168">
        <f>AOIPTStudCntK3R*F19</f>
        <v>0</v>
      </c>
      <c r="AA19" s="166"/>
    </row>
    <row r="20" spans="1:27" ht="15" customHeight="1">
      <c r="A20" s="379" t="s">
        <v>700</v>
      </c>
      <c r="B20" s="356"/>
      <c r="C20" s="1168">
        <f>NonAOIStudCntHI</f>
        <v>0</v>
      </c>
      <c r="D20" s="1168">
        <f>AOIFTStudCntHI</f>
        <v>0</v>
      </c>
      <c r="E20" s="1168">
        <f>AOIPTStudCntHI</f>
        <v>0</v>
      </c>
      <c r="F20" s="1169">
        <v>4.7709999999999999</v>
      </c>
      <c r="G20" s="1168">
        <f>NonAOIStudCntHI*F20</f>
        <v>0</v>
      </c>
      <c r="H20" s="1168">
        <f>AOIFTStudCntHI*F20</f>
        <v>0</v>
      </c>
      <c r="I20" s="1168">
        <f>AOIPTStudCntHI*F20</f>
        <v>0</v>
      </c>
      <c r="AA20" s="166"/>
    </row>
    <row r="21" spans="1:27" ht="15" customHeight="1">
      <c r="A21" s="379" t="s">
        <v>967</v>
      </c>
      <c r="B21" s="356"/>
      <c r="C21" s="1168">
        <f>NonAOIStudCntMDR.AR.SIDR</f>
        <v>2</v>
      </c>
      <c r="D21" s="1168">
        <f>AOIFTStudCntMDR.AR.SIDR</f>
        <v>0</v>
      </c>
      <c r="E21" s="1168">
        <f>AOIPTStudCntMDR.AR.SIDR</f>
        <v>0</v>
      </c>
      <c r="F21" s="1169">
        <v>6.024</v>
      </c>
      <c r="G21" s="1168">
        <f>NonAOIStudCntMDR.AR.SIDR*F21</f>
        <v>12.048</v>
      </c>
      <c r="H21" s="1168">
        <f>AOIFTStudCntMDR.AR.SIDR*F21</f>
        <v>0</v>
      </c>
      <c r="I21" s="1168">
        <f>AOIPTStudCntMDR.AR.SIDR*F21</f>
        <v>0</v>
      </c>
      <c r="AA21" s="166"/>
    </row>
    <row r="22" spans="1:27" ht="15" customHeight="1">
      <c r="A22" s="1185" t="s">
        <v>968</v>
      </c>
      <c r="B22" s="356"/>
      <c r="C22" s="1168">
        <f>NonAOIStudCntMDSC.ASC.SIDSC</f>
        <v>0</v>
      </c>
      <c r="D22" s="1168">
        <f>AOIFTStudCntMDSC.ASC.SIDSC</f>
        <v>0</v>
      </c>
      <c r="E22" s="1168">
        <f>AOIPTStudCntMDSC.ASC.SIDSC</f>
        <v>0</v>
      </c>
      <c r="F22" s="1186">
        <v>5.9880000000000004</v>
      </c>
      <c r="G22" s="1168">
        <f>NonAOIStudCntMDSC.ASC.SIDSC*F22</f>
        <v>0</v>
      </c>
      <c r="H22" s="1168">
        <f>AOIFTStudCntMDSC.ASC.SIDSC*F22</f>
        <v>0</v>
      </c>
      <c r="I22" s="1168">
        <f>AOIPTStudCntMDSC.ASC.SIDSC*F22</f>
        <v>0</v>
      </c>
      <c r="AA22" s="166"/>
    </row>
    <row r="23" spans="1:27" ht="15" customHeight="1">
      <c r="A23" s="1185" t="s">
        <v>703</v>
      </c>
      <c r="B23" s="356"/>
      <c r="C23" s="1168">
        <f>NonAOIStudCntMDSSI</f>
        <v>0</v>
      </c>
      <c r="D23" s="1168">
        <f>AOIFTStudCntMDSSI</f>
        <v>0</v>
      </c>
      <c r="E23" s="1168">
        <f>AOIPTStudCntMDSSI</f>
        <v>0</v>
      </c>
      <c r="F23" s="1186">
        <v>7.9470000000000001</v>
      </c>
      <c r="G23" s="1168">
        <f>NonAOIStudCntMDSSI*F23</f>
        <v>0</v>
      </c>
      <c r="H23" s="1168">
        <f>AOIFTStudCntMDSSI*F23</f>
        <v>0</v>
      </c>
      <c r="I23" s="1168">
        <f>AOIPTStudCntMDSSI*F23</f>
        <v>0</v>
      </c>
      <c r="AA23" s="166"/>
    </row>
    <row r="24" spans="1:27" ht="15" customHeight="1">
      <c r="A24" s="1185" t="s">
        <v>704</v>
      </c>
      <c r="B24" s="356"/>
      <c r="C24" s="1168">
        <f>NonAOIStudCntOIR</f>
        <v>0</v>
      </c>
      <c r="D24" s="1168">
        <f>AOIFTStudCntOIR</f>
        <v>0</v>
      </c>
      <c r="E24" s="1168">
        <f>AOIPTStudCntOIR</f>
        <v>0</v>
      </c>
      <c r="F24" s="1186">
        <v>3.1579999999999999</v>
      </c>
      <c r="G24" s="1168">
        <f>NonAOIStudCntOIR*F24</f>
        <v>0</v>
      </c>
      <c r="H24" s="1168">
        <f>AOIFTStudCntOIR*F24</f>
        <v>0</v>
      </c>
      <c r="I24" s="1168">
        <f>AOIPTStudCntOIR*F24</f>
        <v>0</v>
      </c>
      <c r="AA24" s="166"/>
    </row>
    <row r="25" spans="1:27" ht="15" customHeight="1">
      <c r="A25" s="1185" t="s">
        <v>705</v>
      </c>
      <c r="B25" s="356"/>
      <c r="C25" s="1168">
        <f>NonAOIStudCntOISC</f>
        <v>0</v>
      </c>
      <c r="D25" s="1168">
        <f>AOIFTStudCntOISC</f>
        <v>0</v>
      </c>
      <c r="E25" s="1168">
        <f>AOIPTStudCntOISC</f>
        <v>0</v>
      </c>
      <c r="F25" s="1186">
        <v>6.7729999999999997</v>
      </c>
      <c r="G25" s="1168">
        <f>NonAOIStudCntOISC*F25</f>
        <v>0</v>
      </c>
      <c r="H25" s="1168">
        <f>AOIFTStudCntOISC*F25</f>
        <v>0</v>
      </c>
      <c r="I25" s="1168">
        <f>AOIPTStudCntOISC*F25</f>
        <v>0</v>
      </c>
      <c r="AA25" s="166"/>
    </row>
    <row r="26" spans="1:27" ht="15" customHeight="1">
      <c r="A26" s="1185" t="s">
        <v>706</v>
      </c>
      <c r="B26" s="356"/>
      <c r="C26" s="1168">
        <f>NonAOIStudCntP.SD</f>
        <v>0</v>
      </c>
      <c r="D26" s="1168">
        <f>AOIFTStudCntP.SD</f>
        <v>0</v>
      </c>
      <c r="E26" s="1168">
        <f>AOIPTStudCntP.SD</f>
        <v>0</v>
      </c>
      <c r="F26" s="1186">
        <v>3.5950000000000002</v>
      </c>
      <c r="G26" s="1168">
        <f>NonAOIStudCntP.SD*F26</f>
        <v>0</v>
      </c>
      <c r="H26" s="1168">
        <f>AOIFTStudCntP.SD*F26</f>
        <v>0</v>
      </c>
      <c r="I26" s="1168">
        <f>AOIPTStudCntP.SD*F26</f>
        <v>0</v>
      </c>
      <c r="M26" s="127"/>
      <c r="AA26" s="127"/>
    </row>
    <row r="27" spans="1:27" ht="15" customHeight="1">
      <c r="A27" s="1185" t="s">
        <v>969</v>
      </c>
      <c r="B27" s="356"/>
      <c r="C27" s="1168">
        <f>NonAOIStudCntDD.ED.MIID.SLD.SLI.OHI</f>
        <v>14</v>
      </c>
      <c r="D27" s="1168">
        <f>AOIFTStudCntDD.ED.MIID.SLD.SLI.OHI</f>
        <v>0</v>
      </c>
      <c r="E27" s="1168">
        <f>AOIPTStudCntDD.ED.MIID.SLD.SLI.OHI</f>
        <v>0</v>
      </c>
      <c r="F27" s="1169">
        <v>0.29199999999999998</v>
      </c>
      <c r="G27" s="1168">
        <f>NonAOIStudCntDD.ED.MIID.SLD.SLI.OHI*F27</f>
        <v>4.0880000000000001</v>
      </c>
      <c r="H27" s="1168">
        <f>AOIFTStudCntDD.ED.MIID.SLD.SLI.OHI*F27</f>
        <v>0</v>
      </c>
      <c r="I27" s="1168">
        <f>AOIPTStudCntDD.ED.MIID.SLD.SLI.OHI*F27</f>
        <v>0</v>
      </c>
      <c r="AA27" s="166"/>
    </row>
    <row r="28" spans="1:27" ht="15" customHeight="1">
      <c r="A28" s="1185" t="s">
        <v>709</v>
      </c>
      <c r="B28" s="356"/>
      <c r="C28" s="1168">
        <f>NonAOIStudCntEDP</f>
        <v>0</v>
      </c>
      <c r="D28" s="1168">
        <f>AOIFTStudCntEDP</f>
        <v>0</v>
      </c>
      <c r="E28" s="1168">
        <f>AOIPTStudCntEDP</f>
        <v>0</v>
      </c>
      <c r="F28" s="1186">
        <v>4.8220000000000001</v>
      </c>
      <c r="G28" s="1168">
        <f>NonAOIStudCntEDP*F28</f>
        <v>0</v>
      </c>
      <c r="H28" s="1168">
        <f>AOIFTStudCntEDP*F28</f>
        <v>0</v>
      </c>
      <c r="I28" s="1168">
        <f>AOIPTStudCntEDP*F28</f>
        <v>0</v>
      </c>
      <c r="AA28" s="166"/>
    </row>
    <row r="29" spans="1:27" ht="15" customHeight="1">
      <c r="A29" s="1185" t="s">
        <v>710</v>
      </c>
      <c r="B29" s="356"/>
      <c r="C29" s="1168">
        <f>NonAOIStudCntMOID</f>
        <v>2</v>
      </c>
      <c r="D29" s="1168">
        <f>AOIFTStudCntMOID</f>
        <v>0</v>
      </c>
      <c r="E29" s="1168">
        <f>AOIPTStudCntMOID</f>
        <v>0</v>
      </c>
      <c r="F29" s="1186">
        <v>4.4210000000000003</v>
      </c>
      <c r="G29" s="1168">
        <f>NonAOIStudCntMOID*F29</f>
        <v>8.8420000000000005</v>
      </c>
      <c r="H29" s="1168">
        <f>AOIFTStudCntMOID*F29</f>
        <v>0</v>
      </c>
      <c r="I29" s="1168">
        <f>AOIPTStudCntMOID*F29</f>
        <v>0</v>
      </c>
      <c r="AA29" s="166"/>
    </row>
    <row r="30" spans="1:27" ht="15" customHeight="1">
      <c r="A30" s="1185" t="s">
        <v>711</v>
      </c>
      <c r="B30" s="356"/>
      <c r="C30" s="1168">
        <f>NonAOIStudCntVI</f>
        <v>0</v>
      </c>
      <c r="D30" s="1168">
        <f>AOIFTStudCntVI</f>
        <v>0</v>
      </c>
      <c r="E30" s="1168">
        <f>AOIPTStudCntVI</f>
        <v>0</v>
      </c>
      <c r="F30" s="1186">
        <v>4.806</v>
      </c>
      <c r="G30" s="1168">
        <f>NonAOIStudCntVI*F30</f>
        <v>0</v>
      </c>
      <c r="H30" s="1168">
        <f>AOIFTStudCntVI*F30</f>
        <v>0</v>
      </c>
      <c r="I30" s="1168">
        <f>AOIPTStudCntVI*F30</f>
        <v>0</v>
      </c>
      <c r="AA30" s="166"/>
    </row>
    <row r="31" spans="1:27" ht="15" customHeight="1">
      <c r="A31" s="1185" t="s">
        <v>712</v>
      </c>
      <c r="B31" s="356"/>
      <c r="C31" s="1168">
        <f>NonAOIStudCntG</f>
        <v>0</v>
      </c>
      <c r="D31" s="1168">
        <f>AOIFTStudCntG</f>
        <v>0</v>
      </c>
      <c r="E31" s="1168">
        <f>AOIPTStudCntG</f>
        <v>0</v>
      </c>
      <c r="F31" s="1186">
        <v>7.0000000000000001E-3</v>
      </c>
      <c r="G31" s="1168">
        <f>NonAOIStudCntG*F31</f>
        <v>0</v>
      </c>
      <c r="H31" s="1168">
        <f>AOIFTStudCntG*F31</f>
        <v>0</v>
      </c>
      <c r="I31" s="1168">
        <f>AOIPTStudCntG*F31</f>
        <v>0</v>
      </c>
      <c r="AA31" s="166"/>
    </row>
    <row r="32" spans="1:27" ht="15" customHeight="1">
      <c r="A32" s="379" t="s">
        <v>713</v>
      </c>
      <c r="C32" s="1168">
        <f>NonAOIStudCntFRPL</f>
        <v>64</v>
      </c>
      <c r="D32" s="1168">
        <f>AOIFTStudCntFRPL</f>
        <v>0</v>
      </c>
      <c r="E32" s="1168">
        <f>AOIPTStudCntFRPL</f>
        <v>0</v>
      </c>
      <c r="F32" s="1187">
        <v>2.1999999999999999E-2</v>
      </c>
      <c r="G32" s="1168">
        <f>NonAOIStudCntFRPL*F32</f>
        <v>1.4079999999999999</v>
      </c>
      <c r="H32" s="1168">
        <f>AOIFTStudCntFRPL*F32</f>
        <v>0</v>
      </c>
      <c r="I32" s="1168">
        <f>AOIPTStudCntFRPL*F32</f>
        <v>0</v>
      </c>
      <c r="AA32" s="166"/>
    </row>
    <row r="33" spans="1:27" ht="15" customHeight="1">
      <c r="A33" s="1188" t="s">
        <v>970</v>
      </c>
      <c r="B33" s="1188"/>
      <c r="C33" s="1175">
        <f>SUM(C17:C32)</f>
        <v>82</v>
      </c>
      <c r="D33" s="1175">
        <f>SUM(D17:D32)</f>
        <v>0</v>
      </c>
      <c r="E33" s="1175">
        <f>SUM(E17:E32)</f>
        <v>0</v>
      </c>
      <c r="F33" s="1189"/>
      <c r="G33" s="1173"/>
      <c r="H33" s="1173"/>
      <c r="I33" s="1173"/>
      <c r="M33" s="127"/>
      <c r="AA33" s="127"/>
    </row>
    <row r="34" spans="1:27" ht="15" customHeight="1">
      <c r="A34" s="1188" t="s">
        <v>971</v>
      </c>
      <c r="B34" s="1188"/>
      <c r="C34" s="1188"/>
      <c r="D34" s="1190"/>
      <c r="E34" s="1173">
        <f>SUM(C33:E33)</f>
        <v>82</v>
      </c>
      <c r="F34" s="1191"/>
      <c r="G34" s="1173"/>
      <c r="H34" s="1173"/>
      <c r="I34" s="1173"/>
      <c r="AA34" s="166"/>
    </row>
    <row r="35" spans="1:27" ht="15" customHeight="1">
      <c r="A35" s="1188" t="s">
        <v>972</v>
      </c>
      <c r="B35" s="1188"/>
      <c r="C35" s="1188"/>
      <c r="D35" s="1192"/>
      <c r="E35" s="1191"/>
      <c r="F35" s="1191"/>
      <c r="G35" s="1193">
        <f>((C17*F17)+(C18*F18)+(C19*F19)+(C20*F20)+(C21*F21)+(C22*F22)+(C23*F23)+(C24*F24)+(C25*F25)+(C26*F26)+(C27*F27)+(C28*F28)+(C29*F29)+(C30*F30)+(C31*F31)+(C32*F32))</f>
        <v>26.385999999999999</v>
      </c>
      <c r="H35" s="1193">
        <f>((D17*F17)+(D18*F18)+(D19*F19)+(D20*F20)+(D21*F21)+(D22*F22)+(D23*F23)+(D24*F24)+(D25*F25)+(D26*F26)+(D27*F27)+(D28*F28)+(D29*F29)+(D30*F30)+(D31*F31)+(D32*F32))</f>
        <v>0</v>
      </c>
      <c r="I35" s="1193">
        <f>((E17*F17)+(E18*F18)+(E19*F19)+(E20*F20)+(E21*F21)+(E22*F22)+(E23*F23)+(E24*F24)+(E25*F25)+(E26*F26)+(E27*F27)+(E28*F28)+(E29*F29)+(E30*F30)+(E31*F31)+(E32*F32))</f>
        <v>0</v>
      </c>
      <c r="AA35" s="166"/>
    </row>
    <row r="36" spans="1:27" ht="15" customHeight="1">
      <c r="A36" s="1188" t="s">
        <v>973</v>
      </c>
      <c r="B36" s="1188"/>
      <c r="C36" s="1188"/>
      <c r="D36" s="1192"/>
      <c r="E36" s="1191"/>
      <c r="F36" s="1191"/>
      <c r="G36" s="1173"/>
      <c r="H36" s="1173"/>
      <c r="I36" s="1173">
        <f>(((C17+D17+E17)*F17)+((C18+D18+E18)*F18)+((C19+D19+E19)*F19)+((C20+D20+E20)*F20)+((C21+D21+E21)*F21)+((C22+D22+E22)*F22)+((C23+D23+E23)*F23)+((C24+D24+E24)*F24)+((C25+D25+E25)*F25)+((C26+D26+E26)*F26)+((C27+D27+E27)*F27)+((C28+D28+E28)*F28)+((C29+D29+E29)*F29)+((C30+D30+E30)*F30)+((C31+D31+E31)*F31)+((C32+D32+E32)*F32))</f>
        <v>26.385999999999999</v>
      </c>
      <c r="AA36" s="166"/>
    </row>
    <row r="37" spans="1:27" ht="15" customHeight="1">
      <c r="B37" s="356"/>
      <c r="G37" s="356"/>
      <c r="H37" s="356"/>
      <c r="I37" s="356"/>
      <c r="AA37" s="166"/>
    </row>
    <row r="38" spans="1:27" ht="15" customHeight="1">
      <c r="A38" s="1194"/>
      <c r="B38" s="1814"/>
      <c r="C38" s="1814"/>
      <c r="D38" s="1814"/>
      <c r="E38" s="1194"/>
      <c r="F38" s="1814"/>
      <c r="G38" s="1815"/>
      <c r="H38" s="1815"/>
      <c r="I38" s="282"/>
      <c r="J38" s="614"/>
      <c r="K38" s="1808"/>
      <c r="L38" s="1808" t="str">
        <f>CTD</f>
        <v>020522000</v>
      </c>
      <c r="AA38" s="166"/>
    </row>
    <row r="39" spans="1:27" ht="15" customHeight="1">
      <c r="A39" s="1159"/>
      <c r="B39" s="1159"/>
      <c r="C39" s="1159"/>
      <c r="D39" s="1446" t="str">
        <f>IF(DistrictName&lt;&gt;0,DistrictName,"")</f>
        <v>Valley Union High School District</v>
      </c>
      <c r="E39" s="1446"/>
      <c r="F39" s="1446"/>
      <c r="G39" s="1446"/>
      <c r="H39" s="1446"/>
      <c r="I39" s="1159"/>
      <c r="J39" s="1159"/>
      <c r="K39" s="1159"/>
      <c r="L39" s="1159"/>
      <c r="M39" s="1159"/>
      <c r="AA39" s="166"/>
    </row>
    <row r="40" spans="1:27" ht="34.5" customHeight="1">
      <c r="A40" s="452"/>
      <c r="B40" s="452"/>
      <c r="C40" s="452"/>
      <c r="D40" s="1807" t="s">
        <v>949</v>
      </c>
      <c r="E40" s="1807"/>
      <c r="F40" s="1807"/>
      <c r="G40" s="1807"/>
      <c r="H40" s="1807"/>
      <c r="I40" s="452"/>
      <c r="J40" s="452"/>
      <c r="K40" s="452"/>
      <c r="L40" s="452"/>
      <c r="M40" s="452"/>
      <c r="AA40" s="166"/>
    </row>
    <row r="41" spans="1:27" ht="15" customHeight="1" thickBot="1">
      <c r="A41" s="1129"/>
      <c r="B41" s="1129"/>
      <c r="C41" s="1129"/>
      <c r="D41" s="1129"/>
      <c r="E41" s="1162"/>
      <c r="F41" s="1161" t="s">
        <v>950</v>
      </c>
      <c r="G41" s="1162" t="str">
        <f>IF(AND(SmallIsolatedPSD8Checkbox="X",SmallIsolated912Checkbox="X"),"Elementary and High School",IF(SmallIsolatedPSD8Checkbox="X","Elementary",IF(SmallIsolated912Checkbox="X","High School","Not Isolated")))</f>
        <v>Not Isolated</v>
      </c>
      <c r="H41" s="1129"/>
      <c r="I41" s="1129"/>
      <c r="J41" s="1129"/>
      <c r="K41" s="1160"/>
      <c r="L41" s="1163" t="s">
        <v>951</v>
      </c>
      <c r="M41" s="1163" t="s">
        <v>974</v>
      </c>
      <c r="AA41" s="166"/>
    </row>
    <row r="42" spans="1:27" ht="15" customHeight="1">
      <c r="AA42" s="166"/>
    </row>
    <row r="43" spans="1:27" ht="21.6">
      <c r="A43" s="1195" t="s">
        <v>975</v>
      </c>
      <c r="B43" s="356"/>
      <c r="C43" s="356"/>
      <c r="D43" s="1196" t="s">
        <v>976</v>
      </c>
      <c r="E43" s="356"/>
      <c r="F43" s="1196" t="s">
        <v>955</v>
      </c>
      <c r="G43" s="1174"/>
      <c r="H43" s="1196" t="s">
        <v>956</v>
      </c>
      <c r="I43" s="1197"/>
      <c r="J43" s="1197"/>
      <c r="K43" s="1197"/>
      <c r="L43" s="1197"/>
      <c r="M43" s="1197"/>
      <c r="N43" s="1197"/>
      <c r="O43" s="1197"/>
      <c r="P43" s="1197"/>
      <c r="Q43" s="1197"/>
      <c r="AA43" s="166"/>
    </row>
    <row r="44" spans="1:27" ht="15" customHeight="1">
      <c r="A44" s="1816" t="s">
        <v>963</v>
      </c>
      <c r="B44" s="1816"/>
      <c r="C44" s="1198"/>
      <c r="D44" s="1199">
        <f>NonAOIRegEdWgtdADM</f>
        <v>127.83799999999999</v>
      </c>
      <c r="E44" s="1200"/>
      <c r="F44" s="1199">
        <f>AOIFTRegEdWgtdADM</f>
        <v>0</v>
      </c>
      <c r="G44" s="1200"/>
      <c r="H44" s="1199">
        <f>AOIPTRegEdWgtdADM</f>
        <v>0</v>
      </c>
      <c r="I44" s="1201"/>
      <c r="J44" s="1806"/>
      <c r="K44" s="1806"/>
      <c r="L44" s="1806"/>
      <c r="AA44" s="166"/>
    </row>
    <row r="45" spans="1:27" ht="15" customHeight="1">
      <c r="A45" s="1816" t="s">
        <v>972</v>
      </c>
      <c r="B45" s="1816"/>
      <c r="C45" s="1198" t="s">
        <v>797</v>
      </c>
      <c r="D45" s="1202">
        <f>NonAOIGrBAddOnWgtdADM</f>
        <v>26.385999999999999</v>
      </c>
      <c r="E45" s="1200" t="s">
        <v>797</v>
      </c>
      <c r="F45" s="1199">
        <f>AOIFTGrBAddOnWgtdADM</f>
        <v>0</v>
      </c>
      <c r="G45" s="1200" t="s">
        <v>797</v>
      </c>
      <c r="H45" s="1199">
        <f>AOIPTGrBAddOnWgtdADM</f>
        <v>0</v>
      </c>
      <c r="I45" s="1201"/>
      <c r="J45" s="124"/>
      <c r="K45" s="1201"/>
      <c r="L45" s="1201"/>
      <c r="AA45" s="166"/>
    </row>
    <row r="46" spans="1:27" ht="15" customHeight="1">
      <c r="A46" s="1203" t="s">
        <v>977</v>
      </c>
      <c r="B46" s="356"/>
      <c r="C46" s="1198" t="s">
        <v>793</v>
      </c>
      <c r="D46" s="1202">
        <f>((C7*F7)+(C8*F8)+(C9*F9)+C17*F17)+(C18*F18)+(C19*F19)+(C20*F20)+(C21*F21)+(C22*F22)+(C23*F23)+(C24*F24)+(C25*F25)+(C26*F26)+(C27*F27)+(C28*F28)+(C29*F29)+(C30*F30)+(C31*F31)+(C32*F32)</f>
        <v>154.22399999999999</v>
      </c>
      <c r="E46" s="1200" t="s">
        <v>793</v>
      </c>
      <c r="F46" s="1199">
        <f>((D7*F7)+(D8*F8)+(D9*F9)+(D17*F17)+(D18*F18)+(D19*F19)+(D20*F20)+(D21*F21)+(D22*F22)+(D23*F23)+(D24*F24)+(D25*F25)+(D26*F26)+(D27*F27)+(D28*F28)+(D29*F29)+(D30*F30)+(D31*F31)+(D32*F32))</f>
        <v>0</v>
      </c>
      <c r="G46" s="1200" t="s">
        <v>793</v>
      </c>
      <c r="H46" s="1199">
        <f>((E7*F7)+(E8*F8)+(E9*F9)+(E17*F17)+(E18*F18)+(E19*F19)+(E20*F20)+(E21*F21)+(E22*F22)+(E23*F23)+(E24*F24)+(E25*F25)+(E26*F26)+(E27*F27)+(E28*F28)+(E29*F29)+(E30*F30)+(E31*F31)+(E32*F32))</f>
        <v>0</v>
      </c>
      <c r="I46" s="1201"/>
      <c r="J46" s="124"/>
      <c r="K46" s="1201"/>
      <c r="L46" s="1201"/>
      <c r="AA46" s="166"/>
    </row>
    <row r="47" spans="1:27" ht="15" customHeight="1">
      <c r="A47" s="1203" t="s">
        <v>978</v>
      </c>
      <c r="B47" s="356"/>
      <c r="C47" s="1198" t="s">
        <v>795</v>
      </c>
      <c r="D47" s="1202">
        <v>1</v>
      </c>
      <c r="E47" s="1204" t="s">
        <v>795</v>
      </c>
      <c r="F47" s="1202">
        <v>0.95</v>
      </c>
      <c r="G47" s="1204" t="s">
        <v>795</v>
      </c>
      <c r="H47" s="1202">
        <v>0.85</v>
      </c>
      <c r="I47" s="1201"/>
      <c r="J47" s="124"/>
      <c r="K47" s="1201"/>
      <c r="L47" s="1201"/>
      <c r="AA47" s="166"/>
    </row>
    <row r="48" spans="1:27" ht="15" customHeight="1">
      <c r="A48" s="1203" t="s">
        <v>979</v>
      </c>
      <c r="B48" s="356"/>
      <c r="C48" s="1198" t="s">
        <v>793</v>
      </c>
      <c r="D48" s="1202">
        <f>(((C7*F7)+(C8*F8)+(C9*F9)+C17*F17)+(C18*F18)+(C19*F19)+(C20*F20)+(C21*F21)+(C22*F22)+(C23*F23)+(C24*F24)+(C25*F25)+(C26*F26)+(C27*F27)+(C28*F28)+(C29*F29)+(C30*F30)+(C31*F31)+(C32*F32))*D47</f>
        <v>154.22399999999999</v>
      </c>
      <c r="E48" s="1204" t="s">
        <v>793</v>
      </c>
      <c r="F48" s="1202">
        <f>(((D7*F7)+(D8*F8)+(D9*F9)+(D17*F17)+(D18*F18)+(D19*F19)+(D20*F20)+(D21*F21)+(D22*F22)+(D23*F23)+(D24*F24)+(D25*F25)+(D26*F26)+(D27*F27)+(D28*F28)+(D29*F29)+(D30*F30)+(D31*F31)+(D32*F32)))*F47</f>
        <v>0</v>
      </c>
      <c r="G48" s="1204" t="s">
        <v>793</v>
      </c>
      <c r="H48" s="1202">
        <f>(((E7*F7)+(E8*F8)+(E9*F9)+(E17*F17)+(E18*F18)+(E19*F19)+(E20*F20)+(E21*F21)+(E22*F22)+(E23*F23)+(E24*F24)+(E25*F25)+(E26*F26)+(E27*F27)+(E28*F28)+(E29*F29)+(E30*F30)+(E31*F31)+(E32*F32)))*H47</f>
        <v>0</v>
      </c>
      <c r="I48" s="1201"/>
      <c r="J48" s="124"/>
      <c r="K48" s="1201"/>
      <c r="L48" s="1201"/>
      <c r="AA48" s="166"/>
    </row>
    <row r="49" spans="1:27" s="186" customFormat="1" ht="7.5" customHeight="1" thickBot="1">
      <c r="A49" s="1205"/>
      <c r="B49" s="1162"/>
      <c r="C49" s="1206"/>
      <c r="D49" s="1207"/>
      <c r="E49" s="1208"/>
      <c r="F49" s="1207"/>
      <c r="G49" s="1208"/>
      <c r="H49" s="1207"/>
      <c r="I49" s="1209"/>
      <c r="J49" s="1129"/>
      <c r="K49" s="1209"/>
      <c r="L49" s="1209"/>
      <c r="M49" s="1210"/>
      <c r="AA49" s="1211"/>
    </row>
    <row r="50" spans="1:27" s="186" customFormat="1" ht="7.5" customHeight="1">
      <c r="A50" s="1203"/>
      <c r="B50" s="441"/>
      <c r="C50" s="1198"/>
      <c r="D50" s="1199"/>
      <c r="E50" s="1204"/>
      <c r="F50" s="1199"/>
      <c r="G50" s="1204"/>
      <c r="H50" s="1199"/>
      <c r="I50" s="1201"/>
      <c r="J50" s="282"/>
      <c r="K50" s="1201"/>
      <c r="L50" s="1201"/>
      <c r="M50" s="1211"/>
      <c r="AA50" s="1211"/>
    </row>
    <row r="51" spans="1:27" ht="15" customHeight="1">
      <c r="A51" s="1212" t="s">
        <v>980</v>
      </c>
      <c r="B51" s="1213"/>
      <c r="C51" s="441"/>
      <c r="D51" s="906"/>
      <c r="E51" s="906"/>
      <c r="F51" s="906"/>
      <c r="G51" s="906"/>
      <c r="H51" s="1214">
        <f>((C7*F7)+(C8*F8)+(C9*F9)+C17*F17)+(C18*F18)+(C19*F19)+(C20*F20)+(C21*F21)+(C22*F22)+(C23*F23)+(C24*F24)+(C25*F25)+(C26*F26)+(C27*F27)+(C28*F28)+(C29*F29)+(C30*F30)+(C31*F31)+(C32*F32)+(((D7*F7)+(D8*F8)+(D9*F9)+(D17*F17)+(D18*F18)+(D19*F19)+(D20*F20)+(D21*F21)+(D22*F22)+(D23*F23)+(D24*F24)+(D25*F25)+(D26*F26)+(D27*F27)+(D28*F28)+(D29*F29)+(D30*F30)+(D31*F31)+(D32*F32))*0.95)+(((E7*F7)+(E8*F8)+(E9*F9)+(E17*F17)+(E18*F18)+(E19*F19)+(E20*F20)+(E21*F21)+(E22*F22)+(E23*F23)+(E24*F24)+(E25*F25)+(E26*F26)+(E27*F27)+(E28*F28)+(E29*F29)+(E30*F30)+(E31*F31)+(E32*F32))*0.85)</f>
        <v>154.22399999999999</v>
      </c>
      <c r="I51" s="124"/>
      <c r="J51" s="124"/>
      <c r="K51" s="124"/>
      <c r="L51" s="124"/>
      <c r="AA51" s="166"/>
    </row>
    <row r="52" spans="1:27" ht="15" customHeight="1" thickBot="1">
      <c r="A52" s="1215" t="s">
        <v>981</v>
      </c>
      <c r="B52" s="1213"/>
      <c r="C52" s="356"/>
      <c r="D52" s="356"/>
      <c r="E52" s="1216"/>
      <c r="F52" s="1216"/>
      <c r="G52" s="1216" t="s">
        <v>795</v>
      </c>
      <c r="H52" s="1217">
        <f>IF(Checkbox200Days="X",BaseLevelAmount*1.05,BaseLevelAmount)</f>
        <v>4914.71</v>
      </c>
      <c r="I52" s="124"/>
      <c r="J52" s="1218"/>
      <c r="K52" s="124"/>
      <c r="L52" s="124"/>
      <c r="AA52" s="166"/>
    </row>
    <row r="53" spans="1:27" ht="15" customHeight="1">
      <c r="A53" s="1213" t="s">
        <v>982</v>
      </c>
      <c r="B53" s="1213"/>
      <c r="C53" s="356"/>
      <c r="D53" s="356"/>
      <c r="E53" s="356"/>
      <c r="F53" s="356"/>
      <c r="G53" s="356"/>
      <c r="H53" s="1219">
        <f>(((C7*F7)+(C8*F8)+(C9*F9)+C17*F17)+(C18*F18)+(C19*F19)+(C20*F20)+(C21*F21)+(C22*F22)+(C23*F23)+(C24*F24)+(C25*F25)+(C26*F26)+(C27*F27)+(C28*F28)+(C29*F29)+(C30*F30)+(C31*F31)+(C32*F32)+(((D7*F7)+(D8*F8)+(D9*F9)+(D17*F17)+(D18*F18)+(D19*F19)+(D20*F20)+(D21*F21)+(D22*F22)+(D23*F23)+(D24*F24)+(D25*F25)+(D26*F26)+(D27*F27)+(D28*F28)+(D29*F29)+(D30*F30)+(D31*F31)+(D32*F32))*0.95)+(((E7*F7)+(E8*F8)+(E9*F9)+(E17*F17)+(E18*F18)+(E19*F19)+(E20*F20)+(E21*F21)+(E22*F22)+(E23*F23)+(E24*F24)+(E25*F25)+(E26*F26)+(E27*F27)+(E28*F28)+(E29*F29)+(E30*F30)+(E31*F31)+(E32*F32))*0.85))*H52</f>
        <v>757966.24</v>
      </c>
      <c r="I53" s="124"/>
      <c r="J53" s="124"/>
      <c r="K53" s="124"/>
      <c r="L53" s="124"/>
      <c r="AA53" s="166"/>
    </row>
    <row r="54" spans="1:27" ht="15" customHeight="1">
      <c r="A54" s="1819" t="s">
        <v>983</v>
      </c>
      <c r="B54" s="1819"/>
      <c r="C54" s="1169">
        <f>TEI</f>
        <v>1.0099</v>
      </c>
      <c r="D54" s="356"/>
      <c r="E54" s="356"/>
      <c r="F54" s="356"/>
      <c r="G54" s="356"/>
      <c r="H54" s="1158"/>
      <c r="I54" s="124"/>
      <c r="J54" s="124"/>
      <c r="K54" s="124"/>
      <c r="L54" s="124"/>
      <c r="AA54" s="166"/>
    </row>
    <row r="55" spans="1:27" ht="15" customHeight="1" thickBot="1">
      <c r="A55" s="1215" t="s">
        <v>984</v>
      </c>
      <c r="B55" s="1213"/>
      <c r="C55" s="356"/>
      <c r="D55" s="356"/>
      <c r="E55" s="356"/>
      <c r="F55" s="356"/>
      <c r="G55" s="819" t="s">
        <v>795</v>
      </c>
      <c r="H55" s="1220">
        <f>IF(TEI&gt;1,TEI,1)</f>
        <v>1.0099</v>
      </c>
      <c r="I55" s="124"/>
      <c r="J55" s="124"/>
      <c r="K55" s="124"/>
      <c r="L55" s="124"/>
      <c r="AA55" s="166"/>
    </row>
    <row r="56" spans="1:27" ht="15" customHeight="1">
      <c r="A56" s="1221" t="s">
        <v>985</v>
      </c>
      <c r="B56" s="356"/>
      <c r="C56" s="1222"/>
      <c r="D56" s="356"/>
      <c r="E56" s="356"/>
      <c r="F56" s="356"/>
      <c r="G56" s="356"/>
      <c r="H56" s="1223"/>
      <c r="I56" s="124"/>
      <c r="J56" s="124"/>
      <c r="K56" s="124"/>
      <c r="L56" s="124"/>
      <c r="AA56" s="166"/>
    </row>
    <row r="57" spans="1:27" ht="15" customHeight="1">
      <c r="A57" s="374" t="s">
        <v>986</v>
      </c>
      <c r="B57" s="356"/>
      <c r="C57" s="356"/>
      <c r="D57" s="356"/>
      <c r="E57" s="356"/>
      <c r="F57" s="356"/>
      <c r="G57" s="356"/>
      <c r="H57" s="1219">
        <f>(((C7*F7)+(C8*F8)+(C9*F9)+C17*F17)+(C18*F18)+(C19*F19)+(C20*F20)+(C21*F21)+(C22*F22)+(C23*F23)+(C24*F24)+(C25*F25)+(C26*F26)+(C27*F27)+(C28*F28)+(C29*F29)+(C30*F30)+(C31*F31)+(C32*F32)+(((D7*F7)+(D8*F8)+(D9*F9)+(D17*F17)+(D18*F18)+(D19*F19)+(D20*F20)+(D21*F21)+(D22*F22)+(D23*F23)+(D24*F24)+(D25*F25)+(D26*F26)+(D27*F27)+(D28*F28)+(D29*F29)+(D30*F30)+(D31*F31)+(D32*F32))*0.95)+(((E7*F7)+(E8*F8)+(E9*F9)+(E17*F17)+(E18*F18)+(E19*F19)+(E20*F20)+(E21*F21)+(E22*F22)+(E23*F23)+(E24*F24)+(E25*F25)+(E26*F26)+(E27*F27)+(E28*F28)+(E29*F29)+(E30*F30)+(E31*F31)+(E32*F32))*0.85))*BSA55BLA*H55</f>
        <v>765470.1</v>
      </c>
      <c r="I57" s="124"/>
      <c r="J57" s="124"/>
      <c r="K57" s="124"/>
      <c r="L57" s="124"/>
      <c r="AA57" s="166"/>
    </row>
    <row r="58" spans="1:27" ht="15" customHeight="1">
      <c r="A58" s="374"/>
      <c r="B58" s="356"/>
      <c r="C58" s="356"/>
      <c r="D58" s="356"/>
      <c r="E58" s="356"/>
      <c r="F58" s="356"/>
      <c r="G58" s="356"/>
      <c r="H58" s="1224"/>
      <c r="I58" s="124"/>
      <c r="J58" s="124"/>
      <c r="K58" s="124"/>
      <c r="L58" s="124"/>
      <c r="AA58" s="166"/>
    </row>
    <row r="59" spans="1:27" ht="15" customHeight="1">
      <c r="A59" s="1225" t="s">
        <v>987</v>
      </c>
      <c r="B59" s="356"/>
      <c r="C59" s="1226"/>
      <c r="D59" s="1226"/>
      <c r="E59" s="1226"/>
      <c r="F59" s="1226"/>
      <c r="G59" s="1226"/>
      <c r="H59" s="1227"/>
      <c r="I59" s="124"/>
      <c r="J59" s="124"/>
      <c r="K59" s="124"/>
      <c r="L59" s="124"/>
      <c r="AA59" s="166"/>
    </row>
    <row r="60" spans="1:27" ht="15" customHeight="1">
      <c r="A60" s="1228" t="s">
        <v>988</v>
      </c>
      <c r="B60" s="1158" t="s">
        <v>797</v>
      </c>
      <c r="C60" s="1229">
        <f>NonFedAuditExp</f>
        <v>9750</v>
      </c>
      <c r="D60" s="430"/>
      <c r="E60" s="430"/>
      <c r="F60" s="430"/>
      <c r="G60" s="430"/>
      <c r="H60" s="1230"/>
      <c r="I60" s="1231"/>
      <c r="J60" s="124"/>
      <c r="K60" s="124"/>
      <c r="L60" s="124"/>
      <c r="AA60" s="166"/>
    </row>
    <row r="61" spans="1:27" ht="15" customHeight="1">
      <c r="A61" s="356" t="s">
        <v>989</v>
      </c>
      <c r="B61" s="1158" t="s">
        <v>797</v>
      </c>
      <c r="C61" s="1232">
        <f>IncreaseTuitionLossAdj</f>
        <v>0</v>
      </c>
      <c r="D61" s="430"/>
      <c r="E61" s="430"/>
      <c r="F61" s="430"/>
      <c r="G61" s="430"/>
      <c r="H61" s="1230"/>
      <c r="I61" s="1231"/>
      <c r="J61" s="124"/>
      <c r="K61" s="124"/>
      <c r="L61" s="124"/>
      <c r="AA61" s="166"/>
    </row>
    <row r="62" spans="1:27" ht="15" customHeight="1">
      <c r="A62" s="356" t="s">
        <v>990</v>
      </c>
      <c r="B62" s="1158" t="s">
        <v>797</v>
      </c>
      <c r="C62" s="1232">
        <f>IF(AND(Cover!E3='Data Entry'!L112+1,(Calculations!R220+Calculations!R226)&gt;0),Calculations!R220+Calculations!R226,IF(AND(Cover!E3='Data Entry'!L112+2,(Calculations!R221+Calculations!R227)&gt;0),Calculations!R221+Calculations!R227,IF(AND(Cover!E3='Data Entry'!L112+3,(Calculations!R222+Calculations!R228)&gt;0),Calculations!R222+Calculations!R228,IF(AND(Cover!E3='Data Entry'!L112+4,(Calculations!R223+Calculations!R229)&gt;0),Calculations!R223+Calculations!R229,IF(AND(Cover!E3='Data Entry'!L112+5,(Calculations!R224+Calculations!R230)&gt;0),Calculations!R224+Calculations!R230,0)))))</f>
        <v>0</v>
      </c>
      <c r="D62" s="430"/>
      <c r="E62" s="430"/>
      <c r="F62" s="430"/>
      <c r="G62" s="430"/>
      <c r="H62" s="1230"/>
      <c r="I62" s="1231"/>
      <c r="J62" s="124"/>
      <c r="K62" s="124"/>
      <c r="L62" s="124"/>
      <c r="AA62" s="166"/>
    </row>
    <row r="63" spans="1:27" ht="15" customHeight="1">
      <c r="A63" s="1228" t="s">
        <v>991</v>
      </c>
      <c r="B63" s="1158" t="s">
        <v>797</v>
      </c>
      <c r="C63" s="1232">
        <f>RemoteInstructionDecre</f>
        <v>0</v>
      </c>
      <c r="D63" s="430"/>
      <c r="E63" s="430"/>
      <c r="F63" s="430"/>
      <c r="G63" s="430"/>
      <c r="H63" s="1230"/>
      <c r="I63" s="1231"/>
      <c r="J63" s="124"/>
      <c r="K63" s="124"/>
      <c r="L63" s="124"/>
      <c r="AA63" s="166"/>
    </row>
    <row r="64" spans="1:27" ht="15.6">
      <c r="A64" s="1233"/>
      <c r="B64" s="1158"/>
      <c r="C64" s="1229"/>
      <c r="D64" s="430"/>
      <c r="E64" s="430"/>
      <c r="F64" s="430"/>
      <c r="G64" s="430"/>
      <c r="H64" s="1230"/>
      <c r="I64" s="1231"/>
      <c r="J64" s="124"/>
      <c r="K64" s="124"/>
      <c r="L64" s="124"/>
      <c r="AA64" s="166"/>
    </row>
    <row r="65" spans="1:27" ht="15.6">
      <c r="A65" s="1233"/>
      <c r="B65" s="1158"/>
      <c r="C65" s="1229"/>
      <c r="D65" s="430"/>
      <c r="E65" s="430"/>
      <c r="F65" s="430"/>
      <c r="G65" s="430"/>
      <c r="H65" s="1230"/>
      <c r="I65" s="1231"/>
      <c r="J65" s="124"/>
      <c r="K65" s="124"/>
      <c r="L65" s="124"/>
      <c r="AA65" s="166"/>
    </row>
    <row r="66" spans="1:27" ht="15" customHeight="1">
      <c r="A66" s="876" t="s">
        <v>992</v>
      </c>
      <c r="B66" s="356"/>
      <c r="C66" s="356"/>
      <c r="D66" s="356"/>
      <c r="E66" s="356"/>
      <c r="F66" s="356"/>
      <c r="G66" s="356"/>
      <c r="H66" s="1234">
        <f>SUM(C60:C65)</f>
        <v>9750</v>
      </c>
      <c r="I66" s="1235"/>
      <c r="J66" s="124"/>
      <c r="K66" s="124"/>
      <c r="L66" s="124"/>
      <c r="AA66" s="166"/>
    </row>
    <row r="67" spans="1:27" ht="15" customHeight="1">
      <c r="A67" s="1236" t="s">
        <v>993</v>
      </c>
      <c r="B67" s="356"/>
      <c r="C67" s="1236"/>
      <c r="D67" s="1236"/>
      <c r="E67" s="1236"/>
      <c r="F67" s="1236"/>
      <c r="G67" s="1236"/>
      <c r="H67" s="1237">
        <f>H66+H57</f>
        <v>775220.1</v>
      </c>
      <c r="I67" s="1238"/>
      <c r="J67" s="124"/>
      <c r="K67" s="124"/>
      <c r="L67" s="124"/>
      <c r="AA67" s="166"/>
    </row>
    <row r="68" spans="1:27" ht="15" customHeight="1">
      <c r="AA68" s="166"/>
    </row>
    <row r="69" spans="1:27" ht="15" customHeight="1">
      <c r="AA69" s="166"/>
    </row>
    <row r="70" spans="1:27" ht="15" customHeight="1">
      <c r="AA70" s="166"/>
    </row>
    <row r="71" spans="1:27" ht="15" customHeight="1">
      <c r="A71" s="1159"/>
      <c r="B71" s="1159"/>
      <c r="C71" s="1159"/>
      <c r="D71" s="1446" t="str">
        <f>IF(DistrictName&lt;&gt;0,DistrictName,"")</f>
        <v>Valley Union High School District</v>
      </c>
      <c r="E71" s="1446"/>
      <c r="F71" s="1446"/>
      <c r="G71" s="1446"/>
      <c r="H71" s="1446"/>
      <c r="I71" s="1159"/>
      <c r="J71" s="1159"/>
      <c r="K71" s="1159"/>
      <c r="L71" s="1159"/>
      <c r="M71" s="1159"/>
      <c r="AA71" s="166"/>
    </row>
    <row r="72" spans="1:27" ht="34.5" customHeight="1">
      <c r="A72" s="452"/>
      <c r="B72" s="452"/>
      <c r="C72" s="452"/>
      <c r="D72" s="1807" t="s">
        <v>949</v>
      </c>
      <c r="E72" s="1807"/>
      <c r="F72" s="1807"/>
      <c r="G72" s="1807"/>
      <c r="H72" s="1807"/>
      <c r="I72" s="452"/>
      <c r="J72" s="452"/>
      <c r="K72" s="452"/>
      <c r="L72" s="452"/>
      <c r="M72" s="452"/>
      <c r="AA72" s="127"/>
    </row>
    <row r="73" spans="1:27" ht="15" customHeight="1" thickBot="1">
      <c r="A73" s="1162"/>
      <c r="B73" s="1162"/>
      <c r="C73" s="1162"/>
      <c r="D73" s="1162"/>
      <c r="E73" s="1162"/>
      <c r="F73" s="1161" t="s">
        <v>950</v>
      </c>
      <c r="G73" s="1162" t="str">
        <f>IF(AND(SmallIsolatedPSD8Checkbox="X",SmallIsolated912Checkbox="X"),"Elementary and High School",IF(SmallIsolatedPSD8Checkbox="X","Elementary",IF(SmallIsolated912Checkbox="X","High School","Not Isolated")))</f>
        <v>Not Isolated</v>
      </c>
      <c r="H73" s="1162"/>
      <c r="I73" s="1162"/>
      <c r="J73" s="1162"/>
      <c r="K73" s="1162"/>
      <c r="L73" s="1163" t="s">
        <v>951</v>
      </c>
      <c r="M73" s="1163" t="s">
        <v>994</v>
      </c>
      <c r="AA73" s="166"/>
    </row>
    <row r="74" spans="1:27" ht="15" customHeight="1">
      <c r="A74" s="356"/>
      <c r="B74" s="356"/>
      <c r="C74" s="356"/>
      <c r="D74" s="356"/>
      <c r="E74" s="1239"/>
      <c r="F74" s="1240"/>
      <c r="G74" s="356"/>
      <c r="H74" s="356"/>
      <c r="I74" s="356"/>
      <c r="J74" s="356"/>
      <c r="K74" s="356"/>
      <c r="L74" s="356"/>
      <c r="M74" s="1241"/>
      <c r="AA74" s="166"/>
    </row>
    <row r="75" spans="1:27" ht="15" customHeight="1">
      <c r="A75" s="1242" t="s">
        <v>995</v>
      </c>
      <c r="B75" s="1243"/>
      <c r="C75" s="1244"/>
      <c r="D75" s="356"/>
      <c r="E75" s="1245"/>
      <c r="F75" s="1246" t="s">
        <v>996</v>
      </c>
      <c r="G75" s="356"/>
      <c r="H75" s="356"/>
      <c r="I75" s="356"/>
      <c r="J75" s="356"/>
      <c r="K75" s="356"/>
      <c r="L75" s="356"/>
      <c r="M75" s="1241"/>
      <c r="AA75" s="166"/>
    </row>
    <row r="76" spans="1:27" ht="15" customHeight="1">
      <c r="A76" s="1817" t="s">
        <v>997</v>
      </c>
      <c r="B76" s="1817"/>
      <c r="C76" s="1244"/>
      <c r="D76" s="356"/>
      <c r="E76" s="1245"/>
      <c r="F76" s="1247" t="s">
        <v>998</v>
      </c>
      <c r="G76" s="356"/>
      <c r="H76" s="356"/>
      <c r="I76" s="356"/>
      <c r="J76" s="1248">
        <f>AdjBaseSuppLvl</f>
        <v>775220.1</v>
      </c>
      <c r="K76" s="356"/>
      <c r="L76" s="356"/>
      <c r="M76" s="1241"/>
      <c r="AA76" s="166"/>
    </row>
    <row r="77" spans="1:27" ht="15" customHeight="1">
      <c r="A77" s="1249" t="s">
        <v>999</v>
      </c>
      <c r="B77" s="1249"/>
      <c r="C77" s="356"/>
      <c r="D77" s="356"/>
      <c r="E77" s="1250"/>
      <c r="F77" s="1247" t="s">
        <v>1000</v>
      </c>
      <c r="G77" s="356"/>
      <c r="H77" s="356"/>
      <c r="I77" s="819" t="s">
        <v>797</v>
      </c>
      <c r="J77" s="1251">
        <f>ConsolUnifTransCosts</f>
        <v>0</v>
      </c>
      <c r="K77" s="356"/>
      <c r="L77" s="356"/>
      <c r="M77" s="1241"/>
      <c r="AA77" s="127"/>
    </row>
    <row r="78" spans="1:27" ht="15" customHeight="1" thickBot="1">
      <c r="A78" s="1249" t="s">
        <v>1001</v>
      </c>
      <c r="B78" s="1249"/>
      <c r="C78" s="356"/>
      <c r="D78" s="356"/>
      <c r="E78" s="1252">
        <f>EligibleStudTrans</f>
        <v>21</v>
      </c>
      <c r="F78" s="1247" t="s">
        <v>1002</v>
      </c>
      <c r="G78" s="356"/>
      <c r="H78" s="356"/>
      <c r="I78" s="819" t="s">
        <v>797</v>
      </c>
      <c r="J78" s="1253">
        <f>TSL</f>
        <v>198820.44</v>
      </c>
      <c r="K78" s="356"/>
      <c r="L78" s="356"/>
      <c r="M78" s="356"/>
      <c r="AA78" s="166"/>
    </row>
    <row r="79" spans="1:27" ht="15" customHeight="1">
      <c r="A79" s="1249" t="s">
        <v>1003</v>
      </c>
      <c r="B79" s="1249"/>
      <c r="C79" s="356"/>
      <c r="D79" s="356"/>
      <c r="E79" s="1254">
        <f>IF(ApprDRMiles&gt;0,ApprDRMiles/EligibleStudTrans,0)</f>
        <v>14</v>
      </c>
      <c r="F79" s="1255" t="s">
        <v>1004</v>
      </c>
      <c r="G79" s="441"/>
      <c r="H79" s="441"/>
      <c r="I79" s="441"/>
      <c r="J79" s="1256">
        <f>SUM(J76:J78)</f>
        <v>974040.54</v>
      </c>
      <c r="K79" s="441"/>
      <c r="L79" s="441"/>
      <c r="M79" s="1257"/>
      <c r="AA79" s="166"/>
    </row>
    <row r="80" spans="1:27" ht="15" customHeight="1" thickBot="1">
      <c r="A80" s="1249" t="s">
        <v>1005</v>
      </c>
      <c r="B80" s="1249"/>
      <c r="C80" s="356"/>
      <c r="D80" s="1258"/>
      <c r="E80" s="1259">
        <f>ApprDRMiles</f>
        <v>294</v>
      </c>
      <c r="F80" s="1260"/>
      <c r="G80" s="1162"/>
      <c r="H80" s="1162"/>
      <c r="I80" s="1162"/>
      <c r="J80" s="1162"/>
      <c r="K80" s="1162"/>
      <c r="L80" s="1162"/>
      <c r="M80" s="1261"/>
      <c r="AA80" s="166"/>
    </row>
    <row r="81" spans="1:27" ht="15" customHeight="1">
      <c r="A81" s="1249" t="s">
        <v>1006</v>
      </c>
      <c r="B81" s="1249"/>
      <c r="C81" s="356"/>
      <c r="D81" s="819" t="s">
        <v>795</v>
      </c>
      <c r="E81" s="1262">
        <f>IF(DailyRteMilesPerElgStud=0,0,IF(AND(DailyRteMilesPerElgStud&gt;0.5,DailyRteMilesPerElgStud&lt;=1),StateSupportLevelRouteMile2,StateSupportLevelRouteMile1))</f>
        <v>2.89</v>
      </c>
      <c r="AA81" s="166"/>
    </row>
    <row r="82" spans="1:27" ht="15" customHeight="1" thickBot="1">
      <c r="A82" s="1249" t="s">
        <v>1007</v>
      </c>
      <c r="B82" s="1249"/>
      <c r="C82" s="356"/>
      <c r="D82" s="819" t="s">
        <v>795</v>
      </c>
      <c r="E82" s="1263">
        <f>IF(Checkbox200Days="X",200,180)</f>
        <v>180</v>
      </c>
      <c r="F82" s="1246" t="s">
        <v>1008</v>
      </c>
      <c r="G82" s="356"/>
      <c r="H82" s="356"/>
      <c r="I82" s="356"/>
      <c r="J82" s="356"/>
      <c r="K82" s="356"/>
      <c r="L82" s="356"/>
      <c r="M82" s="1241"/>
      <c r="AA82" s="166"/>
    </row>
    <row r="83" spans="1:27" ht="15" customHeight="1">
      <c r="A83" s="1249" t="s">
        <v>1009</v>
      </c>
      <c r="B83" s="1249"/>
      <c r="C83" s="356"/>
      <c r="D83" s="819"/>
      <c r="E83" s="1262">
        <f>E80*E81*E82</f>
        <v>152938.79999999999</v>
      </c>
      <c r="F83" s="1247" t="s">
        <v>1010</v>
      </c>
      <c r="G83" s="356"/>
      <c r="H83" s="356"/>
      <c r="I83" s="356"/>
      <c r="J83" s="1248">
        <f>AdjBaseSuppLvl</f>
        <v>775220.1</v>
      </c>
      <c r="K83" s="356"/>
      <c r="L83" s="356"/>
      <c r="M83" s="1241"/>
      <c r="AA83" s="166"/>
    </row>
    <row r="84" spans="1:27" ht="15" customHeight="1" thickBot="1">
      <c r="A84" s="1264" t="s">
        <v>1011</v>
      </c>
      <c r="B84" s="1249"/>
      <c r="C84" s="356"/>
      <c r="D84" s="819" t="s">
        <v>795</v>
      </c>
      <c r="E84" s="1265">
        <f>IF(VALUE(LEFT(RIGHT(L1,7),2))=3,Type03TranspFactor,IF(VALUE(LEFT(RIGHT(L1,7),2))=2,Type02TranspFactor,IF(VALUE(LEFT(RIGHT(L1,7),2))=4,Type04TranspFactor,IF(VALUE(LEFT(RIGHT(L1,7),2))=5,Type05TranspFactor,IF(VALUE(LEFT(RIGHT(L1,7),2))=1,Type01TranspFactor,0)))))</f>
        <v>0.3</v>
      </c>
      <c r="F84" s="1247" t="s">
        <v>1000</v>
      </c>
      <c r="G84" s="356"/>
      <c r="H84" s="356"/>
      <c r="I84" s="819" t="s">
        <v>797</v>
      </c>
      <c r="J84" s="1251">
        <f>ConsolUnifTransCosts</f>
        <v>0</v>
      </c>
      <c r="K84" s="356"/>
      <c r="L84" s="356"/>
      <c r="M84" s="1241"/>
      <c r="AA84" s="166"/>
    </row>
    <row r="85" spans="1:27" ht="15" customHeight="1" thickBot="1">
      <c r="A85" s="1266" t="s">
        <v>1012</v>
      </c>
      <c r="B85" s="1249"/>
      <c r="C85" s="356"/>
      <c r="D85" s="819"/>
      <c r="E85" s="1262">
        <f>ROUND((E82*E80)*E81*E84,2)</f>
        <v>45881.64</v>
      </c>
      <c r="F85" s="1247" t="s">
        <v>1013</v>
      </c>
      <c r="G85" s="356"/>
      <c r="H85" s="356"/>
      <c r="I85" s="819" t="s">
        <v>797</v>
      </c>
      <c r="J85" s="1253">
        <f>CYTRCL</f>
        <v>342795.99</v>
      </c>
      <c r="K85" s="356"/>
      <c r="L85" s="356"/>
      <c r="M85" s="1241"/>
      <c r="AA85" s="166"/>
    </row>
    <row r="86" spans="1:27" ht="15" customHeight="1">
      <c r="A86" s="1249" t="s">
        <v>1014</v>
      </c>
      <c r="B86" s="1249"/>
      <c r="C86" s="356"/>
      <c r="D86" s="819"/>
      <c r="E86" s="1252">
        <f>ActDisabilityRM+EstDisabilityRM</f>
        <v>0</v>
      </c>
      <c r="F86" s="1255" t="s">
        <v>1015</v>
      </c>
      <c r="G86" s="356"/>
      <c r="H86" s="356"/>
      <c r="I86" s="356"/>
      <c r="J86" s="1234">
        <f>SUM(J83:J85)</f>
        <v>1118016.0900000001</v>
      </c>
      <c r="K86" s="356"/>
      <c r="L86" s="356"/>
      <c r="M86" s="1241"/>
      <c r="AA86" s="166"/>
    </row>
    <row r="87" spans="1:27" ht="15" customHeight="1" thickBot="1">
      <c r="A87" s="1249" t="s">
        <v>1006</v>
      </c>
      <c r="B87" s="1249"/>
      <c r="C87" s="356"/>
      <c r="D87" s="819" t="s">
        <v>795</v>
      </c>
      <c r="E87" s="1265">
        <f>E81</f>
        <v>2.89</v>
      </c>
      <c r="F87" s="1260"/>
      <c r="G87" s="1162"/>
      <c r="H87" s="1162"/>
      <c r="I87" s="1162"/>
      <c r="J87" s="1162"/>
      <c r="K87" s="356"/>
      <c r="L87" s="356"/>
      <c r="M87" s="1241"/>
      <c r="AA87" s="166"/>
    </row>
    <row r="88" spans="1:27" ht="15" customHeight="1" thickBot="1">
      <c r="A88" s="1249" t="s">
        <v>1016</v>
      </c>
      <c r="B88" s="356"/>
      <c r="C88" s="356"/>
      <c r="D88" s="356"/>
      <c r="E88" s="1262">
        <f>ROUND(E86*E87,2)</f>
        <v>0</v>
      </c>
      <c r="F88" s="1267" t="s">
        <v>1017</v>
      </c>
      <c r="G88" s="1268"/>
      <c r="H88" s="1268"/>
      <c r="I88" s="1269"/>
      <c r="J88" s="1270">
        <f>IF(J79&gt;J86,J86,J79)</f>
        <v>974040.54</v>
      </c>
      <c r="K88" s="441"/>
      <c r="L88" s="356"/>
      <c r="M88" s="1241"/>
      <c r="AA88" s="166"/>
    </row>
    <row r="89" spans="1:27" ht="15" customHeight="1">
      <c r="A89" s="356" t="s">
        <v>1018</v>
      </c>
      <c r="B89" s="356"/>
      <c r="C89" s="379" t="s">
        <v>1019</v>
      </c>
      <c r="D89" s="379" t="s">
        <v>1020</v>
      </c>
      <c r="E89" s="1271"/>
      <c r="AA89" s="166"/>
    </row>
    <row r="90" spans="1:27" ht="15" customHeight="1">
      <c r="A90" s="356" t="s">
        <v>1021</v>
      </c>
      <c r="B90" s="356"/>
      <c r="C90" s="1272">
        <f>AnnualExpforBusPass</f>
        <v>0</v>
      </c>
      <c r="D90" s="1272">
        <f>AnnualExpforBusToken</f>
        <v>0</v>
      </c>
      <c r="E90" s="1273">
        <f>C90+D90</f>
        <v>0</v>
      </c>
      <c r="AA90" s="166"/>
    </row>
    <row r="91" spans="1:27" ht="15" customHeight="1">
      <c r="A91" s="374" t="s">
        <v>1002</v>
      </c>
      <c r="B91" s="356"/>
      <c r="C91" s="356"/>
      <c r="D91" s="356"/>
      <c r="E91" s="1262">
        <f>E83+E85+E88+E90</f>
        <v>198820.44</v>
      </c>
      <c r="F91" s="1274"/>
      <c r="G91" s="356"/>
      <c r="H91" s="356"/>
      <c r="I91" s="356"/>
      <c r="J91" s="356"/>
      <c r="K91" s="356"/>
      <c r="L91" s="356"/>
      <c r="M91" s="1241"/>
      <c r="AA91" s="166"/>
    </row>
    <row r="92" spans="1:27" ht="15" customHeight="1" thickBot="1">
      <c r="A92" s="1275"/>
      <c r="B92" s="1162"/>
      <c r="C92" s="1162"/>
      <c r="D92" s="1162"/>
      <c r="E92" s="1276"/>
      <c r="F92" s="1274"/>
      <c r="G92" s="356"/>
      <c r="H92" s="356"/>
      <c r="I92" s="356"/>
      <c r="J92" s="356"/>
      <c r="K92" s="356"/>
      <c r="L92" s="356"/>
      <c r="M92" s="1241"/>
      <c r="AA92" s="166"/>
    </row>
    <row r="93" spans="1:27" ht="15" customHeight="1">
      <c r="A93" s="356"/>
      <c r="B93" s="356"/>
      <c r="C93" s="356"/>
      <c r="D93" s="356"/>
      <c r="E93" s="1277"/>
      <c r="F93" s="1274"/>
      <c r="G93" s="441"/>
      <c r="H93" s="356"/>
      <c r="I93" s="356"/>
      <c r="J93" s="356"/>
      <c r="K93" s="356"/>
      <c r="L93" s="356"/>
      <c r="M93" s="1241"/>
      <c r="AA93" s="166"/>
    </row>
    <row r="94" spans="1:27" ht="15" customHeight="1">
      <c r="A94" s="1242" t="s">
        <v>1022</v>
      </c>
      <c r="B94" s="441"/>
      <c r="C94" s="441"/>
      <c r="D94" s="441"/>
      <c r="E94" s="1250"/>
      <c r="F94" s="1274"/>
      <c r="G94" s="356"/>
      <c r="H94" s="356"/>
      <c r="I94" s="356"/>
      <c r="J94" s="356"/>
      <c r="K94" s="356"/>
      <c r="L94" s="356"/>
      <c r="M94" s="1241"/>
      <c r="AA94" s="166"/>
    </row>
    <row r="95" spans="1:27" ht="15" customHeight="1">
      <c r="A95" s="356" t="s">
        <v>1023</v>
      </c>
      <c r="B95" s="356"/>
      <c r="C95" s="356"/>
      <c r="D95" s="819"/>
      <c r="E95" s="1278" cm="1">
        <f t="array" ref="E95">[1]!CYTRCL</f>
        <v>342795.99</v>
      </c>
      <c r="F95" s="1274"/>
      <c r="G95" s="356"/>
      <c r="H95" s="356"/>
      <c r="I95" s="356"/>
      <c r="J95" s="356"/>
      <c r="K95" s="356"/>
      <c r="L95" s="356"/>
      <c r="M95" s="1241"/>
      <c r="AA95" s="166"/>
    </row>
    <row r="96" spans="1:27" ht="15" customHeight="1">
      <c r="A96" s="1279"/>
      <c r="B96" s="1279"/>
      <c r="C96" s="1279"/>
      <c r="D96" s="1279"/>
      <c r="E96" s="1250"/>
      <c r="F96" s="1274"/>
      <c r="G96" s="356"/>
      <c r="H96" s="356"/>
      <c r="I96" s="356"/>
      <c r="J96" s="356"/>
      <c r="K96" s="356"/>
      <c r="L96" s="356"/>
      <c r="M96" s="1241"/>
      <c r="AA96" s="166"/>
    </row>
    <row r="97" spans="1:27" ht="15" customHeight="1">
      <c r="A97" s="1280" t="s">
        <v>1024</v>
      </c>
      <c r="B97" s="356" t="s">
        <v>1025</v>
      </c>
      <c r="C97" s="1281">
        <f>TSL</f>
        <v>198820.44</v>
      </c>
      <c r="D97" s="356"/>
      <c r="E97" s="1250"/>
      <c r="F97" s="1274"/>
      <c r="G97" s="356"/>
      <c r="H97" s="356"/>
      <c r="I97" s="356"/>
      <c r="J97" s="356"/>
      <c r="K97" s="356"/>
      <c r="L97" s="356"/>
      <c r="M97" s="1241"/>
      <c r="AA97" s="166"/>
    </row>
    <row r="98" spans="1:27" ht="15" customHeight="1" thickBot="1">
      <c r="A98" s="356"/>
      <c r="B98" s="356" t="s">
        <v>1026</v>
      </c>
      <c r="C98" s="1282" cm="1">
        <f t="array" ref="C98">[1]!TSL</f>
        <v>162846.51999999999</v>
      </c>
      <c r="D98" s="356"/>
      <c r="E98" s="1250"/>
      <c r="F98" s="1274"/>
      <c r="G98" s="356"/>
      <c r="H98" s="356"/>
      <c r="I98" s="356"/>
      <c r="J98" s="356"/>
      <c r="K98" s="356"/>
      <c r="L98" s="356"/>
      <c r="M98" s="1241"/>
      <c r="AA98" s="166"/>
    </row>
    <row r="99" spans="1:27" ht="15" customHeight="1" thickBot="1">
      <c r="A99" s="356"/>
      <c r="B99" s="356" t="s">
        <v>1027</v>
      </c>
      <c r="C99" s="1283">
        <f>IF(C97-C98&gt;0,C97-C98,0)</f>
        <v>35973.919999999998</v>
      </c>
      <c r="D99" s="356"/>
      <c r="E99" s="1250"/>
      <c r="F99" s="1274"/>
      <c r="G99" s="356"/>
      <c r="H99" s="356"/>
      <c r="I99" s="356"/>
      <c r="J99" s="356"/>
      <c r="K99" s="356"/>
      <c r="L99" s="356"/>
      <c r="M99" s="1241"/>
      <c r="AA99" s="166"/>
    </row>
    <row r="100" spans="1:27" ht="15" customHeight="1">
      <c r="A100" s="356"/>
      <c r="B100" s="356"/>
      <c r="C100" s="356"/>
      <c r="D100" s="356"/>
      <c r="E100" s="1250"/>
      <c r="F100" s="1274"/>
      <c r="G100" s="356"/>
      <c r="H100" s="356"/>
      <c r="I100" s="356"/>
      <c r="J100" s="356"/>
      <c r="K100" s="356"/>
      <c r="L100" s="356"/>
      <c r="M100" s="1241"/>
      <c r="AA100" s="166"/>
    </row>
    <row r="101" spans="1:27" ht="15" customHeight="1">
      <c r="A101" s="356" t="s">
        <v>1028</v>
      </c>
      <c r="B101" s="356"/>
      <c r="C101" s="356"/>
      <c r="D101" s="819"/>
      <c r="E101" s="1278">
        <f>C99+E95</f>
        <v>378769.91</v>
      </c>
      <c r="F101" s="1274"/>
      <c r="G101" s="356"/>
      <c r="H101" s="356"/>
      <c r="I101" s="356"/>
      <c r="J101" s="356"/>
      <c r="K101" s="356"/>
      <c r="L101" s="356"/>
      <c r="M101" s="1241"/>
      <c r="AA101" s="166"/>
    </row>
    <row r="102" spans="1:27" ht="15" customHeight="1">
      <c r="A102" s="1280" t="s">
        <v>1029</v>
      </c>
      <c r="B102" s="819"/>
      <c r="C102" s="1281">
        <f>E91*1.2</f>
        <v>238584.53</v>
      </c>
      <c r="D102" s="356"/>
      <c r="E102" s="1250"/>
      <c r="F102" s="1274"/>
      <c r="G102" s="356"/>
      <c r="H102" s="356"/>
      <c r="I102" s="356"/>
      <c r="J102" s="356"/>
      <c r="K102" s="356"/>
      <c r="L102" s="356"/>
      <c r="M102" s="1241"/>
      <c r="AA102" s="166"/>
    </row>
    <row r="103" spans="1:27" ht="15" customHeight="1">
      <c r="A103" s="876" t="s">
        <v>1013</v>
      </c>
      <c r="B103" s="356"/>
      <c r="C103" s="356"/>
      <c r="D103" s="819"/>
      <c r="E103" s="1284">
        <f>MAX(TSL,IF(PremFYTRCL&gt;AdjFYTRCL,TRCLBudgPY,PremFYTRCL))</f>
        <v>342795.99</v>
      </c>
      <c r="F103" s="1274"/>
      <c r="G103" s="356"/>
      <c r="H103" s="356"/>
      <c r="I103" s="356"/>
      <c r="J103" s="356"/>
      <c r="K103" s="356"/>
      <c r="L103" s="356"/>
      <c r="M103" s="1241"/>
      <c r="AA103" s="166"/>
    </row>
    <row r="104" spans="1:27" ht="15" customHeight="1">
      <c r="A104" s="356"/>
      <c r="B104" s="356"/>
      <c r="C104" s="356"/>
      <c r="D104" s="356"/>
      <c r="E104" s="356"/>
      <c r="F104" s="356"/>
      <c r="G104" s="356"/>
      <c r="H104" s="356"/>
      <c r="I104" s="356"/>
      <c r="J104" s="356"/>
      <c r="K104" s="356"/>
      <c r="L104" s="356"/>
      <c r="M104" s="1241"/>
      <c r="AA104" s="166"/>
    </row>
    <row r="105" spans="1:27" ht="15" customHeight="1">
      <c r="M105" s="127"/>
      <c r="AA105" s="166"/>
    </row>
    <row r="106" spans="1:27" ht="15" customHeight="1">
      <c r="A106" s="453"/>
      <c r="B106" s="453"/>
      <c r="C106" s="453"/>
      <c r="D106" s="1446" t="str">
        <f>IF(DistrictName&lt;&gt;0,DistrictName,"")</f>
        <v>Valley Union High School District</v>
      </c>
      <c r="E106" s="1446"/>
      <c r="F106" s="1446"/>
      <c r="G106" s="1446"/>
      <c r="H106" s="1446"/>
      <c r="I106" s="453"/>
      <c r="J106" s="453"/>
      <c r="K106" s="453"/>
      <c r="L106" s="453"/>
      <c r="M106" s="453"/>
      <c r="AA106" s="166"/>
    </row>
    <row r="107" spans="1:27" ht="34.5" customHeight="1">
      <c r="A107" s="452"/>
      <c r="B107" s="452"/>
      <c r="C107" s="452"/>
      <c r="D107" s="1807" t="s">
        <v>949</v>
      </c>
      <c r="E107" s="1807"/>
      <c r="F107" s="1807"/>
      <c r="G107" s="1807"/>
      <c r="H107" s="1807"/>
      <c r="I107" s="452"/>
      <c r="J107" s="452"/>
      <c r="K107" s="452"/>
      <c r="L107" s="452"/>
      <c r="M107" s="452"/>
      <c r="AA107" s="166"/>
    </row>
    <row r="108" spans="1:27" ht="15" customHeight="1" thickBot="1">
      <c r="A108" s="1162"/>
      <c r="B108" s="1162"/>
      <c r="C108" s="1162"/>
      <c r="D108" s="1162"/>
      <c r="E108" s="1162"/>
      <c r="F108" s="1161" t="s">
        <v>950</v>
      </c>
      <c r="G108" s="1162" t="str">
        <f>IF(AND(SmallIsolatedPSD8Checkbox="X",SmallIsolated912Checkbox="X"),"Elementary and High School",IF(SmallIsolatedPSD8Checkbox="X","Elementary",IF(SmallIsolated912Checkbox="X","High School","Not Isolated")))</f>
        <v>Not Isolated</v>
      </c>
      <c r="H108" s="1162"/>
      <c r="I108" s="1162"/>
      <c r="J108" s="1162"/>
      <c r="K108" s="1162"/>
      <c r="L108" s="1163" t="s">
        <v>951</v>
      </c>
      <c r="M108" s="1163" t="s">
        <v>1030</v>
      </c>
      <c r="AA108" s="127"/>
    </row>
    <row r="109" spans="1:27" ht="15" customHeight="1">
      <c r="A109" s="356"/>
      <c r="B109" s="356"/>
      <c r="C109" s="356"/>
      <c r="D109" s="356"/>
      <c r="E109" s="356"/>
      <c r="F109" s="356"/>
      <c r="G109" s="356"/>
      <c r="H109" s="356"/>
      <c r="I109" s="356"/>
      <c r="J109" s="356"/>
      <c r="K109" s="356"/>
      <c r="L109" s="356"/>
      <c r="M109" s="1241"/>
      <c r="AA109" s="166"/>
    </row>
    <row r="110" spans="1:27" ht="20.399999999999999">
      <c r="A110" s="1285" t="s">
        <v>1031</v>
      </c>
      <c r="B110" s="1286"/>
      <c r="C110" s="1286"/>
      <c r="D110" s="1286"/>
      <c r="E110" s="1287" t="s">
        <v>681</v>
      </c>
      <c r="F110" s="1288"/>
      <c r="G110" s="1287" t="s">
        <v>682</v>
      </c>
      <c r="H110" s="1288"/>
      <c r="I110" s="1289" t="s">
        <v>683</v>
      </c>
      <c r="J110" s="1288"/>
      <c r="K110" s="1290" t="s">
        <v>1032</v>
      </c>
      <c r="L110" s="1291"/>
      <c r="M110" s="1287" t="s">
        <v>616</v>
      </c>
      <c r="O110" s="124"/>
      <c r="AA110" s="166"/>
    </row>
    <row r="111" spans="1:27" ht="15" customHeight="1">
      <c r="A111" s="356" t="s">
        <v>1033</v>
      </c>
      <c r="B111" s="356"/>
      <c r="C111" s="356"/>
      <c r="D111" s="356"/>
      <c r="E111" s="1171">
        <f>UnweightedStudCntPSDPY</f>
        <v>0</v>
      </c>
      <c r="F111" s="1292"/>
      <c r="G111" s="1171">
        <f>UnweightedStudCntK8PY</f>
        <v>0</v>
      </c>
      <c r="H111" s="1293"/>
      <c r="I111" s="1171">
        <f>UnweightedStudCnt912PY</f>
        <v>79.229299999999995</v>
      </c>
      <c r="J111" s="1293"/>
      <c r="K111" s="1199">
        <f>IF(VALUE(LEFT(RIGHT(L1,7),2))=3,(HSCountDORtoDOA),0)</f>
        <v>0</v>
      </c>
      <c r="L111" s="1294"/>
      <c r="M111" s="1295"/>
      <c r="O111" s="124"/>
      <c r="AA111" s="166"/>
    </row>
    <row r="112" spans="1:27" ht="15" customHeight="1" thickBot="1">
      <c r="A112" s="356" t="s">
        <v>1034</v>
      </c>
      <c r="B112" s="356"/>
      <c r="C112" s="356"/>
      <c r="D112" s="819" t="s">
        <v>795</v>
      </c>
      <c r="E112" s="1296">
        <f>IF(E111=0,0,Calculations!L77)</f>
        <v>0</v>
      </c>
      <c r="F112" s="819" t="s">
        <v>795</v>
      </c>
      <c r="G112" s="1282">
        <f>IF(VALUE(LEFT(RIGHT(L1,7),2))=8,0,IF(AND(UnweightedStudCntK8PY&gt;0,UnweightedStudCntK8PY&lt;100),Calculations!L52,IF(AND(Calculations!L56&gt;0),Calculations!L63,IF(AND(Calculations!L67&gt;0),Calculations!L74,IF(UnweightedStudCntK8PY&gt;=600,Calculations!L77,0)))))</f>
        <v>0</v>
      </c>
      <c r="H112" s="819" t="s">
        <v>795</v>
      </c>
      <c r="I112" s="1282">
        <f>IF(I111=0,0,IF(VALUE(LEFT(RIGHT(L1,7),2))=3,AA166/2,AA166))</f>
        <v>732.87</v>
      </c>
      <c r="J112" s="819" t="s">
        <v>795</v>
      </c>
      <c r="K112" s="1297">
        <f>IF(K111=0,0,IF(VALUE(LEFT(RIGHT(L1,7),2))=3,AA166/2,AA166))</f>
        <v>0</v>
      </c>
      <c r="L112" s="1298"/>
      <c r="M112" s="1299"/>
      <c r="O112" s="124"/>
      <c r="AA112" s="166"/>
    </row>
    <row r="113" spans="1:27" ht="15" customHeight="1">
      <c r="A113" s="374" t="s">
        <v>1035</v>
      </c>
      <c r="B113" s="356"/>
      <c r="C113" s="356"/>
      <c r="D113" s="819" t="s">
        <v>793</v>
      </c>
      <c r="E113" s="1281">
        <f>IF(E111&gt;0,ROUND(E111*E112,2),0)</f>
        <v>0</v>
      </c>
      <c r="F113" s="819" t="s">
        <v>793</v>
      </c>
      <c r="G113" s="1281">
        <f>IF(G111&gt;0,ROUND(G111*G112,2),0)</f>
        <v>0</v>
      </c>
      <c r="H113" s="819" t="s">
        <v>793</v>
      </c>
      <c r="I113" s="1281">
        <f>IF(OR(I111&gt;0),I111*I112,0)</f>
        <v>58064.78</v>
      </c>
      <c r="J113" s="819" t="s">
        <v>793</v>
      </c>
      <c r="K113" s="1300">
        <f>IF(OR(K111&gt;0),K111*K112,0)</f>
        <v>0</v>
      </c>
      <c r="L113" s="1301"/>
      <c r="M113" s="1302">
        <f>(E111*E112)+(G111*G112)+(I111*I112)+(K111*K112)</f>
        <v>58064.78</v>
      </c>
      <c r="O113" s="124"/>
      <c r="AA113" s="127"/>
    </row>
    <row r="114" spans="1:27" ht="15" customHeight="1">
      <c r="A114" s="1303" t="s">
        <v>1036</v>
      </c>
      <c r="B114" s="356"/>
      <c r="C114" s="356"/>
      <c r="D114" s="356"/>
      <c r="E114" s="819"/>
      <c r="F114" s="356"/>
      <c r="G114" s="819"/>
      <c r="H114" s="356"/>
      <c r="I114" s="819"/>
      <c r="J114" s="356"/>
      <c r="K114" s="819"/>
      <c r="L114" s="356"/>
      <c r="M114" s="1295"/>
      <c r="N114" s="124"/>
      <c r="O114" s="124"/>
      <c r="AA114" s="166"/>
    </row>
    <row r="115" spans="1:27" ht="15" customHeight="1">
      <c r="A115" s="1242" t="s">
        <v>1037</v>
      </c>
      <c r="B115" s="356"/>
      <c r="C115" s="356"/>
      <c r="D115" s="356"/>
      <c r="E115" s="819"/>
      <c r="F115" s="356"/>
      <c r="G115" s="819"/>
      <c r="H115" s="356"/>
      <c r="I115" s="819"/>
      <c r="J115" s="356"/>
      <c r="K115" s="819"/>
      <c r="L115" s="356"/>
      <c r="M115" s="1295"/>
      <c r="N115" s="124"/>
      <c r="O115" s="124"/>
      <c r="AA115" s="166"/>
    </row>
    <row r="116" spans="1:27" ht="15" customHeight="1">
      <c r="A116" s="356" t="s">
        <v>1033</v>
      </c>
      <c r="B116" s="356"/>
      <c r="C116" s="1168">
        <f>IF(VALUE(LEFT(RIGHT(L1,7),2))=3,'Data Entry'!G17+UnweightedStudCntK8PY+UnweightedStudCnt912PY+HSCountDORtoDOA,'Data Entry'!G17+UnweightedStudCntK8PY+UnweightedStudCnt912PY)</f>
        <v>79.229299999999995</v>
      </c>
      <c r="D116" s="356"/>
      <c r="E116" s="819"/>
      <c r="F116" s="356"/>
      <c r="G116" s="819"/>
      <c r="H116" s="356"/>
      <c r="I116" s="819"/>
      <c r="J116" s="356"/>
      <c r="K116" s="819"/>
      <c r="L116" s="356"/>
      <c r="M116" s="1295"/>
      <c r="N116" s="124"/>
      <c r="O116" s="124"/>
      <c r="AA116" s="166"/>
    </row>
    <row r="117" spans="1:27" ht="15" customHeight="1" thickBot="1">
      <c r="A117" s="356" t="s">
        <v>1038</v>
      </c>
      <c r="B117" s="819" t="s">
        <v>1039</v>
      </c>
      <c r="C117" s="1304">
        <f>PY100DayADM</f>
        <v>85.660200000000003</v>
      </c>
      <c r="D117" s="356"/>
      <c r="E117" s="819"/>
      <c r="F117" s="356"/>
      <c r="G117" s="819"/>
      <c r="H117" s="356"/>
      <c r="I117" s="819"/>
      <c r="J117" s="356"/>
      <c r="K117" s="819"/>
      <c r="L117" s="356"/>
      <c r="M117" s="1295"/>
      <c r="N117" s="124"/>
      <c r="O117" s="124"/>
      <c r="AA117" s="166"/>
    </row>
    <row r="118" spans="1:27" ht="15" customHeight="1" thickBot="1">
      <c r="A118" s="356" t="s">
        <v>1040</v>
      </c>
      <c r="B118" s="819" t="s">
        <v>793</v>
      </c>
      <c r="C118" s="1168">
        <f>IF(C117&gt;0,ROUND(+C116/C117,10),0)</f>
        <v>0.92490000000000006</v>
      </c>
      <c r="D118" s="819" t="s">
        <v>795</v>
      </c>
      <c r="E118" s="1305">
        <f>IF(IF(C117&gt;0,ROUND(+C116/C117,10),0)&gt;0,IF(IF(C117&gt;0,ROUND(+C116/C117,10),0)&gt;1.05,+(IF(C117&gt;0,ROUND(+C116/C117,10),0)-1)/2+1,1),0)</f>
        <v>1</v>
      </c>
      <c r="F118" s="819" t="s">
        <v>795</v>
      </c>
      <c r="G118" s="1305">
        <f>IF(IF(C117&gt;0,ROUND(+C116/C117,10),0)&gt;0,IF(IF(C117&gt;0,ROUND(+C116/C117,10),0)&gt;1.05,+(IF(C117&gt;0,ROUND(+C116/C117,10),0)-1)/2+1,1),0)</f>
        <v>1</v>
      </c>
      <c r="H118" s="819" t="s">
        <v>795</v>
      </c>
      <c r="I118" s="1305">
        <f>IF(IF(C117&gt;0,ROUND(+C116/C117,10),0)&gt;0,IF(IF(C117&gt;0,ROUND(+C116/C117,10),0)&gt;1.05,+(IF(C117&gt;0,ROUND(+C116/C117,10),0)-1)/2+1,1),0)</f>
        <v>1</v>
      </c>
      <c r="J118" s="819" t="s">
        <v>795</v>
      </c>
      <c r="K118" s="1305">
        <f>IF(IF(C117&gt;0,ROUND(+C116/C117,10),0)&gt;0,IF(IF(C117&gt;0,ROUND(+C116/C117,10),0)&gt;1.05,+(IF(C117&gt;0,ROUND(+C116/C117,10),0)-1)/2+1,1),0)</f>
        <v>1</v>
      </c>
      <c r="L118" s="356"/>
      <c r="M118" s="1295"/>
      <c r="N118" s="124"/>
      <c r="O118" s="124"/>
      <c r="AA118" s="166"/>
    </row>
    <row r="119" spans="1:27" ht="15" customHeight="1">
      <c r="A119" s="356" t="s">
        <v>1041</v>
      </c>
      <c r="B119" s="356"/>
      <c r="C119" s="356"/>
      <c r="D119" s="356"/>
      <c r="E119" s="356"/>
      <c r="F119" s="356"/>
      <c r="G119" s="356"/>
      <c r="H119" s="356"/>
      <c r="I119" s="356"/>
      <c r="J119" s="356"/>
      <c r="K119" s="819"/>
      <c r="L119" s="356"/>
      <c r="M119" s="1295"/>
      <c r="N119" s="124"/>
      <c r="O119" s="124"/>
      <c r="AA119" s="166"/>
    </row>
    <row r="120" spans="1:27" ht="15" customHeight="1">
      <c r="A120" s="1818" t="s">
        <v>1042</v>
      </c>
      <c r="B120" s="1818"/>
      <c r="C120" s="1818"/>
      <c r="D120" s="1306"/>
      <c r="E120" s="356"/>
      <c r="F120" s="356"/>
      <c r="G120" s="356"/>
      <c r="H120" s="356"/>
      <c r="I120" s="356"/>
      <c r="J120" s="356"/>
      <c r="K120" s="819"/>
      <c r="L120" s="356"/>
      <c r="M120" s="819"/>
      <c r="N120" s="124"/>
      <c r="O120" s="124"/>
      <c r="AA120" s="166"/>
    </row>
    <row r="121" spans="1:27" ht="15" customHeight="1">
      <c r="A121" s="1818"/>
      <c r="B121" s="1818"/>
      <c r="C121" s="1818"/>
      <c r="D121" s="1306"/>
      <c r="E121" s="356"/>
      <c r="F121" s="356"/>
      <c r="G121" s="356"/>
      <c r="H121" s="356"/>
      <c r="I121" s="356"/>
      <c r="J121" s="356"/>
      <c r="K121" s="819"/>
      <c r="L121" s="356"/>
      <c r="M121" s="1295"/>
      <c r="N121" s="124"/>
      <c r="O121" s="124"/>
      <c r="AA121" s="166"/>
    </row>
    <row r="122" spans="1:27" ht="15" customHeight="1">
      <c r="A122" s="374" t="s">
        <v>1043</v>
      </c>
      <c r="B122" s="356"/>
      <c r="C122" s="356"/>
      <c r="D122" s="356"/>
      <c r="E122" s="1219">
        <f>IF(E118&gt;0,ROUND(E113*E118,2),0)</f>
        <v>0</v>
      </c>
      <c r="F122" s="1158"/>
      <c r="G122" s="1302">
        <f>IF(G118&gt;0,ROUND(G113*G118,2),0)</f>
        <v>0</v>
      </c>
      <c r="H122" s="1158"/>
      <c r="I122" s="1302">
        <f>IF(I118&gt;0,ROUND(I113*I118,2),0)</f>
        <v>58064.78</v>
      </c>
      <c r="J122" s="1158"/>
      <c r="K122" s="1302">
        <f>IF(K118&gt;0,ROUND(K113*K118,2),0)</f>
        <v>0</v>
      </c>
      <c r="L122" s="374"/>
      <c r="M122" s="1302">
        <f>(IF(E118&gt;0,(E111*E112)*E118,0))+(IF(G118&gt;0,(G111*G112)*G118,0))+(IF(K118&gt;0,(K111*K112)*I118,0))+(IF(I118&gt;0,(I111*I112)*I118,0))</f>
        <v>58064.78</v>
      </c>
      <c r="N122" s="124"/>
      <c r="O122" s="124"/>
      <c r="AA122" s="166"/>
    </row>
    <row r="123" spans="1:27" ht="15" customHeight="1">
      <c r="A123" s="356"/>
      <c r="B123" s="356"/>
      <c r="C123" s="356"/>
      <c r="D123" s="356"/>
      <c r="E123" s="356"/>
      <c r="F123" s="356"/>
      <c r="G123" s="356"/>
      <c r="H123" s="356"/>
      <c r="I123" s="356"/>
      <c r="J123" s="356"/>
      <c r="K123" s="356"/>
      <c r="L123" s="356"/>
      <c r="M123" s="1295"/>
      <c r="N123" s="124"/>
      <c r="O123" s="124"/>
      <c r="AA123" s="166"/>
    </row>
    <row r="124" spans="1:27" ht="15" customHeight="1" thickBot="1">
      <c r="A124" s="1307" t="s">
        <v>1044</v>
      </c>
      <c r="B124" s="356"/>
      <c r="C124" s="356"/>
      <c r="D124" s="356"/>
      <c r="E124" s="356"/>
      <c r="F124" s="356"/>
      <c r="G124" s="356"/>
      <c r="H124" s="356"/>
      <c r="I124" s="356"/>
      <c r="J124" s="356"/>
      <c r="K124" s="356"/>
      <c r="L124" s="356"/>
      <c r="M124" s="1295"/>
      <c r="N124" s="124"/>
      <c r="O124" s="124"/>
      <c r="AA124" s="166"/>
    </row>
    <row r="125" spans="1:27" ht="15" customHeight="1">
      <c r="A125" s="356" t="s">
        <v>1045</v>
      </c>
      <c r="B125" s="356"/>
      <c r="C125" s="356"/>
      <c r="D125" s="356"/>
      <c r="E125" s="356"/>
      <c r="F125" s="356"/>
      <c r="G125" s="356"/>
      <c r="H125" s="356"/>
      <c r="I125" s="1168">
        <f>UnweightedStudCnt912PY</f>
        <v>79.229299999999995</v>
      </c>
      <c r="J125" s="356"/>
      <c r="K125" s="356"/>
      <c r="L125" s="356"/>
      <c r="M125" s="819"/>
      <c r="N125" s="124"/>
      <c r="O125" s="124"/>
      <c r="AA125" s="166"/>
    </row>
    <row r="126" spans="1:27" ht="15" customHeight="1">
      <c r="A126" s="356" t="s">
        <v>1046</v>
      </c>
      <c r="B126" s="356"/>
      <c r="C126" s="356"/>
      <c r="D126" s="356"/>
      <c r="E126" s="356"/>
      <c r="F126" s="356"/>
      <c r="G126" s="356"/>
      <c r="H126" s="819" t="s">
        <v>795</v>
      </c>
      <c r="I126" s="1308">
        <v>84.93</v>
      </c>
      <c r="J126" s="356"/>
      <c r="K126" s="356"/>
      <c r="L126" s="356"/>
      <c r="M126" s="1295"/>
      <c r="N126" s="124"/>
      <c r="O126" s="124"/>
      <c r="AA126" s="166"/>
    </row>
    <row r="127" spans="1:27" ht="15" customHeight="1">
      <c r="A127" s="1174" t="s">
        <v>1044</v>
      </c>
      <c r="B127" s="356"/>
      <c r="C127" s="356"/>
      <c r="D127" s="356"/>
      <c r="E127" s="356"/>
      <c r="F127" s="356"/>
      <c r="G127" s="356"/>
      <c r="H127" s="356"/>
      <c r="I127" s="819"/>
      <c r="J127" s="356"/>
      <c r="K127" s="356"/>
      <c r="L127" s="356"/>
      <c r="M127" s="1302">
        <f>IF(I125&gt;0,ROUND(+I125*I126,2),0)</f>
        <v>6728.94</v>
      </c>
      <c r="N127" s="124"/>
      <c r="O127" s="124"/>
      <c r="AA127" s="166"/>
    </row>
    <row r="128" spans="1:27" ht="15" customHeight="1">
      <c r="A128" s="356"/>
      <c r="B128" s="356"/>
      <c r="C128" s="356"/>
      <c r="D128" s="356"/>
      <c r="E128" s="356"/>
      <c r="F128" s="356"/>
      <c r="G128" s="356"/>
      <c r="H128" s="356"/>
      <c r="I128" s="356"/>
      <c r="J128" s="356"/>
      <c r="K128" s="356"/>
      <c r="L128" s="356"/>
      <c r="M128" s="1309"/>
      <c r="N128" s="124"/>
      <c r="O128" s="124"/>
      <c r="AA128" s="166"/>
    </row>
    <row r="129" spans="1:28" ht="15" customHeight="1" thickBot="1">
      <c r="A129" s="356"/>
      <c r="B129" s="356"/>
      <c r="C129" s="356"/>
      <c r="D129" s="356"/>
      <c r="E129" s="1310" t="s">
        <v>1047</v>
      </c>
      <c r="F129" s="356"/>
      <c r="G129" s="1310" t="s">
        <v>683</v>
      </c>
      <c r="H129" s="356"/>
      <c r="I129" s="356"/>
      <c r="J129" s="356"/>
      <c r="K129" s="356"/>
      <c r="L129" s="356"/>
      <c r="M129" s="1309"/>
      <c r="N129" s="124"/>
      <c r="O129" s="124"/>
      <c r="AA129" s="166"/>
    </row>
    <row r="130" spans="1:28" ht="15" customHeight="1">
      <c r="A130" s="374" t="s">
        <v>1048</v>
      </c>
      <c r="B130" s="356"/>
      <c r="C130" s="356"/>
      <c r="D130" s="356"/>
      <c r="E130" s="1281">
        <f>E122+G122</f>
        <v>0</v>
      </c>
      <c r="F130" s="1311"/>
      <c r="G130" s="1281">
        <f>I122+M127</f>
        <v>64793.72</v>
      </c>
      <c r="H130" s="356"/>
      <c r="I130" s="356"/>
      <c r="J130" s="356"/>
      <c r="K130" s="356"/>
      <c r="L130" s="356"/>
      <c r="M130" s="1302">
        <f>E130+G130+G131</f>
        <v>64793.72</v>
      </c>
      <c r="N130" s="124"/>
      <c r="O130" s="124"/>
      <c r="AA130" s="166"/>
    </row>
    <row r="131" spans="1:28" ht="15" customHeight="1">
      <c r="A131" s="876" t="s">
        <v>1032</v>
      </c>
      <c r="B131" s="356"/>
      <c r="C131" s="356"/>
      <c r="D131" s="448"/>
      <c r="E131" s="1281"/>
      <c r="F131" s="1311"/>
      <c r="G131" s="1281">
        <f>K122</f>
        <v>0</v>
      </c>
      <c r="H131" s="356"/>
      <c r="I131" s="356"/>
      <c r="J131" s="356"/>
      <c r="K131" s="356"/>
      <c r="L131" s="356"/>
      <c r="M131" s="1312"/>
      <c r="N131" s="124"/>
      <c r="O131" s="124"/>
      <c r="AA131" s="166"/>
    </row>
    <row r="132" spans="1:28" ht="15" customHeight="1" thickBot="1">
      <c r="A132" s="356"/>
      <c r="B132" s="356"/>
      <c r="C132" s="356"/>
      <c r="D132" s="356"/>
      <c r="E132" s="1296">
        <f>CapTransportAdjPSD+CapTransportAdjK8</f>
        <v>0</v>
      </c>
      <c r="F132" s="1311"/>
      <c r="G132" s="1296">
        <f>CapTransportAdj912</f>
        <v>0</v>
      </c>
      <c r="H132" s="356"/>
      <c r="I132" s="356"/>
      <c r="J132" s="356"/>
      <c r="K132" s="356"/>
      <c r="L132" s="356"/>
      <c r="M132" s="1313">
        <f>E132+G132</f>
        <v>0</v>
      </c>
      <c r="N132" s="124"/>
      <c r="O132" s="124"/>
      <c r="AA132" s="166"/>
    </row>
    <row r="133" spans="1:28" ht="15" customHeight="1">
      <c r="A133" s="374" t="s">
        <v>1049</v>
      </c>
      <c r="B133" s="356"/>
      <c r="C133" s="356"/>
      <c r="D133" s="356"/>
      <c r="E133" s="1281">
        <f>SUM(E132)</f>
        <v>0</v>
      </c>
      <c r="F133" s="1311"/>
      <c r="G133" s="1281">
        <f>G132</f>
        <v>0</v>
      </c>
      <c r="H133" s="356"/>
      <c r="I133" s="356"/>
      <c r="J133" s="356"/>
      <c r="K133" s="356"/>
      <c r="L133" s="356"/>
      <c r="M133" s="1302">
        <f>E133+G133</f>
        <v>0</v>
      </c>
      <c r="N133" s="124"/>
      <c r="O133" s="124"/>
      <c r="AA133" s="166"/>
    </row>
    <row r="134" spans="1:28" ht="15" customHeight="1">
      <c r="A134" s="374" t="s">
        <v>1050</v>
      </c>
      <c r="B134" s="356"/>
      <c r="C134" s="356"/>
      <c r="D134" s="356"/>
      <c r="E134" s="1281">
        <f>E130+E133</f>
        <v>0</v>
      </c>
      <c r="F134" s="1311"/>
      <c r="G134" s="1281">
        <f>G133+G130+G131</f>
        <v>64793.72</v>
      </c>
      <c r="H134" s="356"/>
      <c r="I134" s="356"/>
      <c r="J134" s="356"/>
      <c r="K134" s="356"/>
      <c r="L134" s="356"/>
      <c r="M134" s="1219">
        <f>E134+G134</f>
        <v>64793.72</v>
      </c>
      <c r="N134" s="124"/>
      <c r="O134" s="124"/>
      <c r="AA134" s="166"/>
    </row>
    <row r="135" spans="1:28" ht="15" customHeight="1">
      <c r="E135" s="284"/>
      <c r="AA135" s="166"/>
    </row>
    <row r="136" spans="1:28" ht="15" customHeight="1">
      <c r="AA136" s="166"/>
    </row>
    <row r="137" spans="1:28" ht="15" customHeight="1">
      <c r="A137" s="453"/>
      <c r="B137" s="453"/>
      <c r="C137" s="453"/>
      <c r="D137" s="1446" t="str">
        <f>IF(DistrictName&lt;&gt;0,DistrictName,"")</f>
        <v>Valley Union High School District</v>
      </c>
      <c r="E137" s="1446"/>
      <c r="F137" s="1446"/>
      <c r="G137" s="1446"/>
      <c r="H137" s="1446"/>
      <c r="I137" s="453"/>
      <c r="J137" s="453"/>
      <c r="K137" s="453"/>
      <c r="L137" s="453"/>
      <c r="M137" s="453"/>
    </row>
    <row r="138" spans="1:28" ht="34.5" customHeight="1">
      <c r="A138" s="452"/>
      <c r="B138" s="452"/>
      <c r="C138" s="452"/>
      <c r="D138" s="1807" t="s">
        <v>949</v>
      </c>
      <c r="E138" s="1807"/>
      <c r="F138" s="1807"/>
      <c r="G138" s="1807"/>
      <c r="H138" s="1807"/>
      <c r="I138" s="452"/>
      <c r="J138" s="452"/>
      <c r="K138" s="452"/>
      <c r="L138" s="452"/>
      <c r="M138" s="452"/>
      <c r="AA138" s="1314" t="str">
        <f>IF(AND(VALUE(LEFT(RIGHT(L1,7),2))=3,DailyRteMilesPerElgStud&gt;1),0.18,IF(AND(VALUE(LEFT(RIGHT(L1,7),2))=3,DailyRteMilesPerElgStud&lt;=1),0.15," "))</f>
        <v xml:space="preserve"> </v>
      </c>
    </row>
    <row r="139" spans="1:28" ht="15" customHeight="1" thickBot="1">
      <c r="A139" s="1162"/>
      <c r="B139" s="1162"/>
      <c r="C139" s="1162"/>
      <c r="D139" s="1162"/>
      <c r="E139" s="1162"/>
      <c r="F139" s="1161" t="s">
        <v>950</v>
      </c>
      <c r="G139" s="1162" t="str">
        <f>IF(AND(SmallIsolatedPSD8Checkbox="X",SmallIsolated912Checkbox="X"),"Elementary and High School",IF(SmallIsolatedPSD8Checkbox="X","Elementary",IF(SmallIsolated912Checkbox="X","High School","Not Isolated")))</f>
        <v>Not Isolated</v>
      </c>
      <c r="H139" s="1162"/>
      <c r="I139" s="1162"/>
      <c r="J139" s="1162"/>
      <c r="K139" s="1162"/>
      <c r="L139" s="1163" t="s">
        <v>951</v>
      </c>
      <c r="M139" s="1163" t="s">
        <v>1051</v>
      </c>
      <c r="AA139" s="1314" t="str">
        <f>IF(AND(VALUE(LEFT(RIGHT(L1,7),2))=2,DailyRteMilesPerElgStud&gt;1),0.18,IF(AND(VALUE(LEFT(RIGHT(L1,7),2))=2,DailyRteMilesPerElgStud&lt;=1),0.15," "))</f>
        <v xml:space="preserve"> </v>
      </c>
      <c r="AB139" s="330"/>
    </row>
    <row r="140" spans="1:28" ht="15" customHeight="1">
      <c r="A140" s="1315" t="s">
        <v>1052</v>
      </c>
      <c r="B140" s="356"/>
      <c r="C140" s="356"/>
      <c r="D140" s="356"/>
      <c r="E140" s="441"/>
      <c r="F140" s="356"/>
      <c r="G140" s="441"/>
      <c r="H140" s="356"/>
      <c r="I140" s="1812" t="s">
        <v>1053</v>
      </c>
      <c r="J140" s="441"/>
      <c r="K140" s="356"/>
      <c r="L140" s="441"/>
      <c r="M140" s="1241"/>
      <c r="N140" s="124"/>
      <c r="AA140" s="1314" t="str">
        <f>IF(AND(VALUE(LEFT(RIGHT(L1,7),2))=4,DailyRteMilesPerElgStud&gt;1),0.12,IF(AND(VALUE(LEFT(RIGHT(L1,7),2))=4,DailyRteMilesPerElgStud&lt;=1),0.1," "))</f>
        <v xml:space="preserve"> </v>
      </c>
    </row>
    <row r="141" spans="1:28" ht="15" customHeight="1" thickBot="1">
      <c r="A141" s="356"/>
      <c r="B141" s="356"/>
      <c r="C141" s="356"/>
      <c r="D141" s="356"/>
      <c r="E141" s="1316" t="s">
        <v>1054</v>
      </c>
      <c r="F141" s="356"/>
      <c r="G141" s="1310" t="s">
        <v>1055</v>
      </c>
      <c r="H141" s="356"/>
      <c r="I141" s="1813"/>
      <c r="J141" s="441"/>
      <c r="K141" s="356"/>
      <c r="L141" s="1310" t="s">
        <v>1056</v>
      </c>
      <c r="M141" s="1241"/>
      <c r="N141" s="124"/>
      <c r="AA141" s="1314">
        <f>IF(AND(VALUE(LEFT(RIGHT(L1,7),2))=5,DailyRteMilesPerElgStud&gt;1),0.3,IF(AND(VALUE(LEFT(RIGHT(L1,7),2))=5,DailyRteMilesPerElgStud&lt;=1),0.25," "))</f>
        <v>0.3</v>
      </c>
    </row>
    <row r="142" spans="1:28" ht="15" customHeight="1">
      <c r="A142" s="356" t="s">
        <v>1047</v>
      </c>
      <c r="B142" s="356"/>
      <c r="C142" s="356"/>
      <c r="D142" s="356"/>
      <c r="E142" s="1168">
        <f>((C7*F7)+(D7*F7)+(E7*F7)+(C8*F8)+(D8*F8)+(E8*F8))</f>
        <v>0</v>
      </c>
      <c r="F142" s="356"/>
      <c r="G142" s="1317">
        <f>ROUND(IF(E144&gt;0,(((C7*F7)+(D7*F7)+(E7*F7)+(C8*F8)+(D8*F8)+(E8*F8))/(((C7*F7)+(D7*F7)+(E7*F7)+(C8*F8)+(D8*F8)+(E8*F8))+((C9*F9)+(D9*F9)+(E9*F9)))),0),10)</f>
        <v>0</v>
      </c>
      <c r="H142" s="819" t="s">
        <v>795</v>
      </c>
      <c r="I142" s="1318">
        <f>IF(VALUE(LEFT(RIGHT(L1,7),2))=3,G142*J88,MIN(DSL,RCL))</f>
        <v>974040.54</v>
      </c>
      <c r="J142" s="1319"/>
      <c r="K142" s="356"/>
      <c r="L142" s="1320">
        <f>G142*I142</f>
        <v>0</v>
      </c>
      <c r="M142" s="1241"/>
      <c r="N142" s="124"/>
      <c r="AA142" s="1314" t="str">
        <f>IF(AND(VALUE(LEFT(RIGHT(L1,7),2))=1,DailyRteMilesPerElgStud&gt;1,AccommTransCheck="X"),0.18,IF(AND(VALUE(LEFT(RIGHT(L1,7),2))=1,DailyRteMilesPerElgStud&lt;=1,AccommTransCheck="X"),0.15,IF(AND(VALUE(LEFT(RIGHT(L1,7),2))=1,DailyRteMilesPerElgStud&lt;=1,AccommTransCheck&lt;&gt;"X"),0.1,IF(AND(VALUE(LEFT(RIGHT(L1,7),2))=1,DailyRteMilesPerElgStud&gt;1,AccommTransCheck&lt;&gt;"X"),0.12," "))))</f>
        <v xml:space="preserve"> </v>
      </c>
    </row>
    <row r="143" spans="1:28" ht="15" customHeight="1">
      <c r="A143" s="398" t="s">
        <v>683</v>
      </c>
      <c r="B143" s="356"/>
      <c r="C143" s="356"/>
      <c r="D143" s="356"/>
      <c r="E143" s="1168">
        <f>((C9*F9)+(D9*F9)+(E9*F9))</f>
        <v>127.83799999999999</v>
      </c>
      <c r="F143" s="356"/>
      <c r="G143" s="1317">
        <f>ROUND(IF(E144&gt;0,(((C9*F9)+(D9*F9)+(E9*F9))/(((C7*F7)+(D7*F7)+(E7*F7)+(C8*F8)+(D8*F8)+(E8*F8))+((C9*F9)+(D9*F9)+(E9*F9)))),0),10)</f>
        <v>1</v>
      </c>
      <c r="H143" s="819" t="s">
        <v>795</v>
      </c>
      <c r="I143" s="1318">
        <f>IF(VALUE(LEFT(RIGHT(L1,7),2))=3,G142*J88,MIN(DSL,RCL))</f>
        <v>974040.54</v>
      </c>
      <c r="J143" s="1319"/>
      <c r="K143" s="819" t="s">
        <v>797</v>
      </c>
      <c r="L143" s="1311">
        <f>G143*I143</f>
        <v>974040.54</v>
      </c>
      <c r="M143" s="1241"/>
      <c r="N143" s="124"/>
      <c r="AA143" s="166"/>
    </row>
    <row r="144" spans="1:28" ht="15" customHeight="1" thickBot="1">
      <c r="A144" s="1316" t="s">
        <v>616</v>
      </c>
      <c r="B144" s="1162"/>
      <c r="C144" s="1162"/>
      <c r="D144" s="1162"/>
      <c r="E144" s="1321">
        <f>E142+E143</f>
        <v>127.83799999999999</v>
      </c>
      <c r="F144" s="1162"/>
      <c r="G144" s="1162"/>
      <c r="H144" s="1162"/>
      <c r="I144" s="1162"/>
      <c r="J144" s="1162"/>
      <c r="K144" s="1162"/>
      <c r="L144" s="1322">
        <f>SUM(L142:L143)</f>
        <v>974040.54</v>
      </c>
      <c r="M144" s="1261"/>
      <c r="N144" s="124"/>
      <c r="AA144" s="166"/>
    </row>
    <row r="145" spans="1:27" ht="15" customHeight="1">
      <c r="A145" s="356"/>
      <c r="B145" s="356"/>
      <c r="C145" s="356"/>
      <c r="D145" s="356"/>
      <c r="E145" s="356"/>
      <c r="F145" s="356"/>
      <c r="G145" s="356"/>
      <c r="H145" s="356"/>
      <c r="I145" s="356"/>
      <c r="J145" s="356"/>
      <c r="K145" s="356"/>
      <c r="L145" s="356"/>
      <c r="M145" s="1241"/>
      <c r="N145" s="124"/>
      <c r="AA145" s="166"/>
    </row>
    <row r="146" spans="1:27" ht="15" customHeight="1" thickBot="1">
      <c r="A146" s="1315" t="s">
        <v>1057</v>
      </c>
      <c r="B146" s="356"/>
      <c r="C146" s="356"/>
      <c r="D146" s="356"/>
      <c r="E146" s="1310" t="s">
        <v>1047</v>
      </c>
      <c r="F146" s="356"/>
      <c r="G146" s="1310" t="s">
        <v>1058</v>
      </c>
      <c r="H146" s="356"/>
      <c r="I146" s="356"/>
      <c r="J146" s="356"/>
      <c r="K146" s="356"/>
      <c r="L146" s="1310" t="s">
        <v>616</v>
      </c>
      <c r="M146" s="1241"/>
      <c r="N146" s="124"/>
      <c r="AA146" s="166"/>
    </row>
    <row r="147" spans="1:27" ht="15" customHeight="1">
      <c r="A147" s="356" t="s">
        <v>1059</v>
      </c>
      <c r="B147" s="356"/>
      <c r="C147" s="356"/>
      <c r="D147" s="356"/>
      <c r="E147" s="1281">
        <f>PAV</f>
        <v>51238077</v>
      </c>
      <c r="F147" s="1311"/>
      <c r="G147" s="1281">
        <f>PAV</f>
        <v>51238077</v>
      </c>
      <c r="H147" s="356"/>
      <c r="I147" s="356"/>
      <c r="J147" s="356"/>
      <c r="K147" s="356"/>
      <c r="L147" s="356"/>
      <c r="M147" s="1241"/>
      <c r="N147" s="124"/>
      <c r="AA147" s="166"/>
    </row>
    <row r="148" spans="1:27" ht="15" customHeight="1">
      <c r="A148" s="356" t="s">
        <v>1060</v>
      </c>
      <c r="B148" s="356"/>
      <c r="C148" s="356"/>
      <c r="D148" s="356"/>
      <c r="E148" s="1281">
        <f>_PAV2</f>
        <v>0</v>
      </c>
      <c r="F148" s="1311"/>
      <c r="G148" s="1281">
        <f>_PAV2</f>
        <v>0</v>
      </c>
      <c r="H148" s="356"/>
      <c r="I148" s="356"/>
      <c r="J148" s="356"/>
      <c r="K148" s="356"/>
      <c r="L148" s="356"/>
      <c r="M148" s="1241"/>
      <c r="N148" s="124"/>
      <c r="AA148" s="166"/>
    </row>
    <row r="149" spans="1:27" ht="15" customHeight="1">
      <c r="A149" s="356" t="s">
        <v>1061</v>
      </c>
      <c r="B149" s="356"/>
      <c r="C149" s="356"/>
      <c r="D149" s="356"/>
      <c r="E149" s="1281">
        <f>SRPV</f>
        <v>0</v>
      </c>
      <c r="F149" s="1311"/>
      <c r="G149" s="1281">
        <f>SRPV</f>
        <v>0</v>
      </c>
      <c r="H149" s="356"/>
      <c r="I149" s="356"/>
      <c r="J149" s="356"/>
      <c r="K149" s="356"/>
      <c r="L149" s="356"/>
      <c r="M149" s="1241"/>
      <c r="N149" s="124"/>
      <c r="AA149" s="166"/>
    </row>
    <row r="150" spans="1:27" ht="15" customHeight="1" thickBot="1">
      <c r="A150" s="356" t="s">
        <v>1062</v>
      </c>
      <c r="B150" s="356"/>
      <c r="C150" s="356"/>
      <c r="D150" s="356"/>
      <c r="E150" s="1282">
        <f>GPLETV</f>
        <v>0</v>
      </c>
      <c r="F150" s="1311"/>
      <c r="G150" s="1282">
        <f>GPLETV</f>
        <v>0</v>
      </c>
      <c r="H150" s="356"/>
      <c r="I150" s="356"/>
      <c r="J150" s="356"/>
      <c r="K150" s="356"/>
      <c r="L150" s="356"/>
      <c r="M150" s="1241"/>
      <c r="N150" s="124"/>
      <c r="AA150" s="166"/>
    </row>
    <row r="151" spans="1:27" ht="15" customHeight="1">
      <c r="A151" s="374" t="s">
        <v>1063</v>
      </c>
      <c r="B151" s="356"/>
      <c r="C151" s="356"/>
      <c r="D151" s="356"/>
      <c r="E151" s="1281">
        <f>SUM(E147:E150)</f>
        <v>51238077</v>
      </c>
      <c r="F151" s="1311"/>
      <c r="G151" s="1281">
        <f>SUM(G147:G150)</f>
        <v>51238077</v>
      </c>
      <c r="H151" s="356"/>
      <c r="I151" s="356"/>
      <c r="J151" s="356"/>
      <c r="K151" s="356"/>
      <c r="L151" s="356"/>
      <c r="M151" s="1241"/>
      <c r="N151" s="124"/>
      <c r="AA151" s="166"/>
    </row>
    <row r="152" spans="1:27" ht="15" customHeight="1" thickBot="1">
      <c r="A152" s="356"/>
      <c r="B152" s="356"/>
      <c r="C152" s="356"/>
      <c r="D152" s="819" t="s">
        <v>1039</v>
      </c>
      <c r="E152" s="1161">
        <v>100</v>
      </c>
      <c r="F152" s="819" t="s">
        <v>1039</v>
      </c>
      <c r="G152" s="1161">
        <v>100</v>
      </c>
      <c r="H152" s="356"/>
      <c r="I152" s="356"/>
      <c r="J152" s="356"/>
      <c r="K152" s="356"/>
      <c r="L152" s="356"/>
      <c r="M152" s="1241"/>
      <c r="N152" s="124"/>
      <c r="AA152" s="166"/>
    </row>
    <row r="153" spans="1:27" ht="15" customHeight="1">
      <c r="A153" s="356"/>
      <c r="B153" s="356"/>
      <c r="C153" s="356"/>
      <c r="D153" s="356"/>
      <c r="E153" s="1281">
        <f>E151/E152</f>
        <v>512380.77</v>
      </c>
      <c r="F153" s="1311"/>
      <c r="G153" s="1281">
        <f>G151/G152</f>
        <v>512380.77</v>
      </c>
      <c r="H153" s="356"/>
      <c r="I153" s="356"/>
      <c r="J153" s="356"/>
      <c r="K153" s="356"/>
      <c r="L153" s="356"/>
      <c r="M153" s="1241"/>
      <c r="N153" s="124"/>
      <c r="AA153" s="166"/>
    </row>
    <row r="154" spans="1:27" ht="15" customHeight="1" thickBot="1">
      <c r="A154" s="356" t="s">
        <v>1064</v>
      </c>
      <c r="B154" s="356"/>
      <c r="C154" s="356"/>
      <c r="D154" s="819" t="s">
        <v>795</v>
      </c>
      <c r="E154" s="1305">
        <f>IF(VALUE(LEFT(RIGHT(L1,7),2))=8,0.05,QTR)</f>
        <v>1.6549</v>
      </c>
      <c r="F154" s="819" t="s">
        <v>795</v>
      </c>
      <c r="G154" s="1305">
        <f>IF(VALUE(LEFT(RIGHT(L1,7),2))=8,0.05,QTR)</f>
        <v>1.6549</v>
      </c>
      <c r="H154" s="356"/>
      <c r="I154" s="356"/>
      <c r="J154" s="356"/>
      <c r="K154" s="356"/>
      <c r="L154" s="356"/>
      <c r="M154" s="1241"/>
      <c r="N154" s="124"/>
      <c r="AA154" s="166"/>
    </row>
    <row r="155" spans="1:27" ht="15" customHeight="1">
      <c r="A155" s="374" t="s">
        <v>1065</v>
      </c>
      <c r="B155" s="356"/>
      <c r="C155" s="356"/>
      <c r="D155" s="356"/>
      <c r="E155" s="1281">
        <f>E153*E154</f>
        <v>847938.94</v>
      </c>
      <c r="F155" s="1311"/>
      <c r="G155" s="1281">
        <f>G153*G154</f>
        <v>847938.94</v>
      </c>
      <c r="H155" s="1311"/>
      <c r="I155" s="1311"/>
      <c r="J155" s="1311"/>
      <c r="K155" s="1311"/>
      <c r="L155" s="1281">
        <f>E155+G155</f>
        <v>1695877.88</v>
      </c>
      <c r="M155" s="1241"/>
      <c r="N155" s="124"/>
      <c r="AA155" s="166"/>
    </row>
    <row r="156" spans="1:27" ht="15" customHeight="1" thickBot="1">
      <c r="A156" s="1162"/>
      <c r="B156" s="1162"/>
      <c r="C156" s="1162"/>
      <c r="D156" s="1162"/>
      <c r="E156" s="1162"/>
      <c r="F156" s="1162"/>
      <c r="G156" s="1162"/>
      <c r="H156" s="1162"/>
      <c r="I156" s="1162"/>
      <c r="J156" s="1162"/>
      <c r="K156" s="1162"/>
      <c r="L156" s="1162"/>
      <c r="M156" s="1261"/>
      <c r="N156" s="124"/>
      <c r="AA156" s="166"/>
    </row>
    <row r="157" spans="1:27" ht="15" customHeight="1">
      <c r="A157" s="441"/>
      <c r="B157" s="356"/>
      <c r="C157" s="356"/>
      <c r="D157" s="356"/>
      <c r="E157" s="356"/>
      <c r="F157" s="356"/>
      <c r="G157" s="356"/>
      <c r="H157" s="356"/>
      <c r="I157" s="356"/>
      <c r="J157" s="356"/>
      <c r="K157" s="356"/>
      <c r="L157" s="356"/>
      <c r="M157" s="1241"/>
      <c r="N157" s="124"/>
      <c r="AA157" s="166"/>
    </row>
    <row r="158" spans="1:27" ht="15" customHeight="1">
      <c r="A158" s="1242" t="s">
        <v>1066</v>
      </c>
      <c r="B158" s="356"/>
      <c r="C158" s="356"/>
      <c r="D158" s="356"/>
      <c r="E158" s="356"/>
      <c r="F158" s="356"/>
      <c r="G158" s="356"/>
      <c r="H158" s="356"/>
      <c r="I158" s="356"/>
      <c r="J158" s="356"/>
      <c r="K158" s="356"/>
      <c r="L158" s="356"/>
      <c r="M158" s="1241"/>
      <c r="N158" s="124"/>
      <c r="AA158" s="166"/>
    </row>
    <row r="159" spans="1:27" ht="15" customHeight="1" thickBot="1">
      <c r="A159" s="356"/>
      <c r="B159" s="356"/>
      <c r="C159" s="356"/>
      <c r="D159" s="356"/>
      <c r="E159" s="1310" t="s">
        <v>1047</v>
      </c>
      <c r="F159" s="356"/>
      <c r="G159" s="1310" t="s">
        <v>683</v>
      </c>
      <c r="H159" s="356"/>
      <c r="I159" s="356"/>
      <c r="J159" s="356"/>
      <c r="K159" s="356"/>
      <c r="L159" s="1310" t="s">
        <v>616</v>
      </c>
      <c r="M159" s="1241"/>
      <c r="N159" s="124"/>
      <c r="AA159" s="166"/>
    </row>
    <row r="160" spans="1:27" ht="15" customHeight="1">
      <c r="A160" s="356" t="s">
        <v>1067</v>
      </c>
      <c r="B160" s="356"/>
      <c r="C160" s="356"/>
      <c r="D160" s="356"/>
      <c r="E160" s="1281">
        <f>L142</f>
        <v>0</v>
      </c>
      <c r="F160" s="356"/>
      <c r="G160" s="1281">
        <f>L143</f>
        <v>974040.54</v>
      </c>
      <c r="H160" s="356"/>
      <c r="I160" s="356"/>
      <c r="J160" s="356"/>
      <c r="K160" s="356"/>
      <c r="L160" s="1281">
        <f>E160+G160</f>
        <v>974040.54</v>
      </c>
      <c r="M160" s="1241"/>
      <c r="N160" s="124"/>
      <c r="AA160" s="166"/>
    </row>
    <row r="161" spans="1:27" ht="15" customHeight="1">
      <c r="A161" s="356" t="s">
        <v>1068</v>
      </c>
      <c r="B161" s="356"/>
      <c r="C161" s="356"/>
      <c r="D161" s="819" t="s">
        <v>797</v>
      </c>
      <c r="E161" s="1281">
        <f>E134</f>
        <v>0</v>
      </c>
      <c r="F161" s="819" t="s">
        <v>797</v>
      </c>
      <c r="G161" s="1281">
        <f>G134</f>
        <v>64793.72</v>
      </c>
      <c r="H161" s="356"/>
      <c r="I161" s="356"/>
      <c r="J161" s="356"/>
      <c r="K161" s="819" t="s">
        <v>797</v>
      </c>
      <c r="L161" s="1281">
        <f>E161+G161</f>
        <v>64793.72</v>
      </c>
      <c r="M161" s="1241"/>
      <c r="N161" s="124"/>
      <c r="AA161" s="166"/>
    </row>
    <row r="162" spans="1:27" ht="15" customHeight="1">
      <c r="A162" s="374" t="s">
        <v>1069</v>
      </c>
      <c r="B162" s="356"/>
      <c r="C162" s="356"/>
      <c r="D162" s="819"/>
      <c r="E162" s="1281">
        <f>SUM(E160:E161)</f>
        <v>0</v>
      </c>
      <c r="F162" s="356"/>
      <c r="G162" s="1300">
        <f>SUM(G160:G161)</f>
        <v>1038834.26</v>
      </c>
      <c r="H162" s="356"/>
      <c r="I162" s="356"/>
      <c r="J162" s="356"/>
      <c r="K162" s="819"/>
      <c r="L162" s="1300">
        <f>EqualBasePSD8+EqualBase912</f>
        <v>1038834.26</v>
      </c>
      <c r="M162" s="1241"/>
      <c r="N162" s="124"/>
      <c r="AA162" s="166"/>
    </row>
    <row r="163" spans="1:27" ht="15" customHeight="1" thickBot="1">
      <c r="A163" s="374" t="s">
        <v>1070</v>
      </c>
      <c r="B163" s="356"/>
      <c r="C163" s="356"/>
      <c r="D163" s="819" t="s">
        <v>791</v>
      </c>
      <c r="E163" s="1282">
        <f>MIN(IF(VALUE(LEFT(RIGHT(L1,7),2))=8,0,IF(E148&gt;0,(E147+E149+E150)*E154/100,E151*E154/100)),EqualBasePSD8)</f>
        <v>0</v>
      </c>
      <c r="F163" s="819" t="s">
        <v>791</v>
      </c>
      <c r="G163" s="1282">
        <f>MIN(IF(G148&gt;0,(G148+G149+G150)*G154/100,G151*G154/100),EqualBase912)</f>
        <v>847938.94</v>
      </c>
      <c r="H163" s="356"/>
      <c r="I163" s="356"/>
      <c r="J163" s="356"/>
      <c r="K163" s="819" t="s">
        <v>791</v>
      </c>
      <c r="L163" s="1282">
        <f>QLPSD8+_QL912</f>
        <v>847938.94</v>
      </c>
      <c r="M163" s="1241"/>
      <c r="N163" s="124"/>
      <c r="AA163" s="166"/>
    </row>
    <row r="164" spans="1:27" ht="15" customHeight="1">
      <c r="A164" s="374" t="s">
        <v>1071</v>
      </c>
      <c r="B164" s="356"/>
      <c r="C164" s="356"/>
      <c r="D164" s="356"/>
      <c r="E164" s="1300">
        <f>IF(E162-E163&lt;0,0,E162-E163)</f>
        <v>0</v>
      </c>
      <c r="F164" s="356"/>
      <c r="G164" s="1300">
        <f>IF(G162-G163&lt;0,0,G162-G163)</f>
        <v>190895.32</v>
      </c>
      <c r="H164" s="356"/>
      <c r="I164" s="356"/>
      <c r="J164" s="356"/>
      <c r="K164" s="356"/>
      <c r="L164" s="1300">
        <f>E164+G164</f>
        <v>190895.32</v>
      </c>
      <c r="M164" s="1241"/>
      <c r="AA164" s="166"/>
    </row>
    <row r="165" spans="1:27" ht="15" customHeight="1">
      <c r="AA165" s="166"/>
    </row>
    <row r="166" spans="1:27" ht="15" customHeight="1">
      <c r="AA166" s="166">
        <f>IF(VALUE(LEFT(RIGHT(L1,7),2))=8,Calculations!O77,IF(AND(UnweightedStudCnt912PY+HSCountDORtoDOA&gt;0,UnweightedStudCnt912PY+HSCountDORtoDOA&lt;100),Calculations!O52,IF(AND(Calculations!O56&gt;0),Calculations!O63,IF(AND(Calculations!O67&gt;0),Calculations!O74,IF(UnweightedStudCnt912PY+HSCountDORtoDOA&gt;=600,Calculations!O77,0)))))</f>
        <v>732.87</v>
      </c>
    </row>
    <row r="167" spans="1:27" ht="15" customHeight="1">
      <c r="AA167" s="166"/>
    </row>
    <row r="168" spans="1:27" ht="15" customHeight="1">
      <c r="AA168" s="166"/>
    </row>
    <row r="169" spans="1:27" ht="15" customHeight="1">
      <c r="AA169" s="166"/>
    </row>
    <row r="170" spans="1:27" ht="15" customHeight="1">
      <c r="AA170" s="166"/>
    </row>
    <row r="171" spans="1:27" ht="15" customHeight="1">
      <c r="AA171" s="166"/>
    </row>
    <row r="172" spans="1:27" ht="15" customHeight="1">
      <c r="AA172" s="166"/>
    </row>
    <row r="173" spans="1:27" ht="15" customHeight="1">
      <c r="AA173" s="166"/>
    </row>
    <row r="174" spans="1:27" ht="15" customHeight="1">
      <c r="AA174" s="166"/>
    </row>
    <row r="175" spans="1:27" ht="15" customHeight="1">
      <c r="AA175" s="166"/>
    </row>
    <row r="176" spans="1:27" ht="15" customHeight="1">
      <c r="AA176" s="166"/>
    </row>
    <row r="177" spans="27:27" ht="15" customHeight="1">
      <c r="AA177" s="166"/>
    </row>
    <row r="178" spans="27:27" ht="15" customHeight="1">
      <c r="AA178" s="166"/>
    </row>
    <row r="179" spans="27:27" ht="15" customHeight="1">
      <c r="AA179" s="166"/>
    </row>
    <row r="180" spans="27:27" ht="15" customHeight="1">
      <c r="AA180" s="166"/>
    </row>
    <row r="181" spans="27:27" ht="15" customHeight="1">
      <c r="AA181" s="166"/>
    </row>
    <row r="182" spans="27:27" ht="15" customHeight="1">
      <c r="AA182" s="166"/>
    </row>
    <row r="183" spans="27:27" ht="15" customHeight="1">
      <c r="AA183" s="166"/>
    </row>
    <row r="184" spans="27:27" ht="15" customHeight="1">
      <c r="AA184" s="166"/>
    </row>
    <row r="185" spans="27:27" ht="15" customHeight="1">
      <c r="AA185" s="166"/>
    </row>
    <row r="186" spans="27:27" ht="15" customHeight="1">
      <c r="AA186" s="166"/>
    </row>
    <row r="187" spans="27:27" ht="15" customHeight="1">
      <c r="AA187" s="166"/>
    </row>
    <row r="188" spans="27:27" ht="15" customHeight="1">
      <c r="AA188" s="166"/>
    </row>
    <row r="189" spans="27:27" ht="15" customHeight="1">
      <c r="AA189" s="166"/>
    </row>
    <row r="190" spans="27:27" ht="15" customHeight="1">
      <c r="AA190" s="166"/>
    </row>
    <row r="191" spans="27:27" ht="15" customHeight="1">
      <c r="AA191" s="166"/>
    </row>
    <row r="192" spans="27:27" ht="15" customHeight="1">
      <c r="AA192" s="166"/>
    </row>
    <row r="193" spans="27:27" ht="15" customHeight="1">
      <c r="AA193" s="166"/>
    </row>
    <row r="194" spans="27:27" ht="15" customHeight="1">
      <c r="AA194" s="166"/>
    </row>
    <row r="195" spans="27:27" ht="15" customHeight="1">
      <c r="AA195" s="166"/>
    </row>
    <row r="196" spans="27:27" ht="15" customHeight="1">
      <c r="AA196" s="166"/>
    </row>
    <row r="197" spans="27:27" ht="15" customHeight="1">
      <c r="AA197" s="166"/>
    </row>
    <row r="198" spans="27:27" ht="15" customHeight="1">
      <c r="AA198" s="166"/>
    </row>
    <row r="199" spans="27:27" ht="15" customHeight="1">
      <c r="AA199" s="166"/>
    </row>
    <row r="200" spans="27:27" ht="15" customHeight="1">
      <c r="AA200" s="166"/>
    </row>
    <row r="201" spans="27:27" ht="15" customHeight="1">
      <c r="AA201" s="166"/>
    </row>
    <row r="202" spans="27:27" ht="15" customHeight="1">
      <c r="AA202" s="166"/>
    </row>
    <row r="203" spans="27:27" ht="15" customHeight="1">
      <c r="AA203" s="166"/>
    </row>
    <row r="204" spans="27:27" ht="15" customHeight="1">
      <c r="AA204" s="166"/>
    </row>
    <row r="205" spans="27:27" ht="15" customHeight="1">
      <c r="AA205" s="166"/>
    </row>
    <row r="206" spans="27:27" ht="15" customHeight="1">
      <c r="AA206" s="166"/>
    </row>
    <row r="207" spans="27:27" ht="15" customHeight="1">
      <c r="AA207" s="166"/>
    </row>
    <row r="208" spans="27:27" ht="15" customHeight="1">
      <c r="AA208" s="166"/>
    </row>
    <row r="209" spans="27:27" ht="15" customHeight="1">
      <c r="AA209" s="166"/>
    </row>
    <row r="210" spans="27:27" ht="15" customHeight="1">
      <c r="AA210" s="166"/>
    </row>
    <row r="211" spans="27:27" ht="15" customHeight="1">
      <c r="AA211" s="166"/>
    </row>
    <row r="212" spans="27:27" ht="15" customHeight="1">
      <c r="AA212" s="166"/>
    </row>
    <row r="213" spans="27:27" ht="15" customHeight="1">
      <c r="AA213" s="166"/>
    </row>
    <row r="214" spans="27:27" ht="15" customHeight="1">
      <c r="AA214" s="166"/>
    </row>
    <row r="215" spans="27:27" ht="15" customHeight="1">
      <c r="AA215" s="166"/>
    </row>
    <row r="216" spans="27:27" ht="15" customHeight="1">
      <c r="AA216" s="166"/>
    </row>
    <row r="217" spans="27:27" ht="15" customHeight="1">
      <c r="AA217" s="166"/>
    </row>
    <row r="218" spans="27:27" ht="15" customHeight="1">
      <c r="AA218" s="166"/>
    </row>
    <row r="219" spans="27:27" ht="15" customHeight="1">
      <c r="AA219" s="166"/>
    </row>
    <row r="220" spans="27:27" ht="15" customHeight="1">
      <c r="AA220" s="166"/>
    </row>
    <row r="221" spans="27:27" ht="15" customHeight="1">
      <c r="AA221" s="166"/>
    </row>
    <row r="222" spans="27:27" ht="15" customHeight="1">
      <c r="AA222" s="166"/>
    </row>
    <row r="223" spans="27:27" ht="15" customHeight="1">
      <c r="AA223" s="166"/>
    </row>
    <row r="224" spans="27:27" ht="15" customHeight="1">
      <c r="AA224" s="166"/>
    </row>
    <row r="225" spans="27:27" ht="15" customHeight="1">
      <c r="AA225" s="166"/>
    </row>
    <row r="226" spans="27:27" ht="15" customHeight="1">
      <c r="AA226" s="166"/>
    </row>
    <row r="227" spans="27:27" ht="15" customHeight="1">
      <c r="AA227" s="166"/>
    </row>
    <row r="228" spans="27:27" ht="15" customHeight="1">
      <c r="AA228" s="166"/>
    </row>
    <row r="229" spans="27:27" ht="15" customHeight="1">
      <c r="AA229" s="166"/>
    </row>
    <row r="230" spans="27:27" ht="15" customHeight="1">
      <c r="AA230" s="166"/>
    </row>
    <row r="231" spans="27:27" ht="15" customHeight="1">
      <c r="AA231" s="166"/>
    </row>
    <row r="232" spans="27:27" ht="15" customHeight="1">
      <c r="AA232" s="166"/>
    </row>
    <row r="233" spans="27:27" ht="15" customHeight="1">
      <c r="AA233" s="166"/>
    </row>
    <row r="234" spans="27:27" ht="15" customHeight="1">
      <c r="AA234" s="166"/>
    </row>
    <row r="235" spans="27:27" ht="15" customHeight="1">
      <c r="AA235" s="166"/>
    </row>
    <row r="236" spans="27:27" ht="15" customHeight="1">
      <c r="AA236" s="166"/>
    </row>
    <row r="237" spans="27:27" ht="15" customHeight="1">
      <c r="AA237" s="166"/>
    </row>
    <row r="238" spans="27:27" ht="15" customHeight="1">
      <c r="AA238" s="166"/>
    </row>
    <row r="239" spans="27:27" ht="15" customHeight="1">
      <c r="AA239" s="166"/>
    </row>
    <row r="240" spans="27:27" ht="15" customHeight="1">
      <c r="AA240" s="166"/>
    </row>
    <row r="241" spans="27:27" ht="15" customHeight="1">
      <c r="AA241" s="166"/>
    </row>
    <row r="242" spans="27:27" ht="15" customHeight="1">
      <c r="AA242" s="166"/>
    </row>
    <row r="243" spans="27:27" ht="15" customHeight="1">
      <c r="AA243" s="166"/>
    </row>
    <row r="244" spans="27:27" ht="15" customHeight="1">
      <c r="AA244" s="166"/>
    </row>
    <row r="245" spans="27:27" ht="15" customHeight="1">
      <c r="AA245" s="166"/>
    </row>
    <row r="246" spans="27:27" ht="15" customHeight="1">
      <c r="AA246" s="166"/>
    </row>
    <row r="247" spans="27:27" ht="15" customHeight="1">
      <c r="AA247" s="166"/>
    </row>
    <row r="248" spans="27:27" ht="15" customHeight="1">
      <c r="AA248" s="166"/>
    </row>
    <row r="249" spans="27:27" ht="15" customHeight="1">
      <c r="AA249" s="166"/>
    </row>
    <row r="250" spans="27:27" ht="15" customHeight="1">
      <c r="AA250" s="166"/>
    </row>
    <row r="251" spans="27:27" ht="15" customHeight="1">
      <c r="AA251" s="166"/>
    </row>
    <row r="252" spans="27:27" ht="15" customHeight="1">
      <c r="AA252" s="166"/>
    </row>
    <row r="253" spans="27:27" ht="15" customHeight="1">
      <c r="AA253" s="166"/>
    </row>
    <row r="254" spans="27:27" ht="15" customHeight="1">
      <c r="AA254" s="166"/>
    </row>
    <row r="255" spans="27:27" ht="15" customHeight="1">
      <c r="AA255" s="166"/>
    </row>
    <row r="256" spans="27:27" ht="15" customHeight="1">
      <c r="AA256" s="166"/>
    </row>
    <row r="257" spans="27:27" ht="15" customHeight="1">
      <c r="AA257" s="166"/>
    </row>
    <row r="258" spans="27:27" ht="15" customHeight="1">
      <c r="AA258" s="166"/>
    </row>
    <row r="259" spans="27:27" ht="15" customHeight="1">
      <c r="AA259" s="166"/>
    </row>
    <row r="260" spans="27:27" ht="15" customHeight="1">
      <c r="AA260" s="166"/>
    </row>
    <row r="261" spans="27:27" ht="15" customHeight="1">
      <c r="AA261" s="166"/>
    </row>
    <row r="262" spans="27:27" ht="15" customHeight="1">
      <c r="AA262" s="166"/>
    </row>
    <row r="263" spans="27:27" ht="15" customHeight="1">
      <c r="AA263" s="166"/>
    </row>
    <row r="264" spans="27:27" ht="15" customHeight="1">
      <c r="AA264" s="166"/>
    </row>
    <row r="265" spans="27:27" ht="15" customHeight="1">
      <c r="AA265" s="166"/>
    </row>
    <row r="266" spans="27:27" ht="15" customHeight="1">
      <c r="AA266" s="166"/>
    </row>
    <row r="267" spans="27:27" ht="15" customHeight="1">
      <c r="AA267" s="166"/>
    </row>
    <row r="268" spans="27:27" ht="15" customHeight="1">
      <c r="AA268" s="166"/>
    </row>
    <row r="269" spans="27:27" ht="15" customHeight="1">
      <c r="AA269" s="166"/>
    </row>
    <row r="270" spans="27:27" ht="15" customHeight="1">
      <c r="AA270" s="166"/>
    </row>
    <row r="271" spans="27:27" ht="15" customHeight="1">
      <c r="AA271" s="166"/>
    </row>
    <row r="272" spans="27:27" ht="15" customHeight="1">
      <c r="AA272" s="166"/>
    </row>
    <row r="273" spans="27:27" ht="15" customHeight="1">
      <c r="AA273" s="166"/>
    </row>
    <row r="274" spans="27:27" ht="15" customHeight="1">
      <c r="AA274" s="166"/>
    </row>
    <row r="275" spans="27:27" ht="15" customHeight="1">
      <c r="AA275" s="166"/>
    </row>
    <row r="276" spans="27:27" ht="15" customHeight="1">
      <c r="AA276" s="166"/>
    </row>
    <row r="277" spans="27:27" ht="15" customHeight="1">
      <c r="AA277" s="166"/>
    </row>
    <row r="278" spans="27:27" ht="15" customHeight="1">
      <c r="AA278" s="166"/>
    </row>
    <row r="279" spans="27:27" ht="15" customHeight="1">
      <c r="AA279" s="166"/>
    </row>
    <row r="280" spans="27:27" ht="15" customHeight="1">
      <c r="AA280" s="166"/>
    </row>
    <row r="281" spans="27:27" ht="15" customHeight="1">
      <c r="AA281" s="166"/>
    </row>
    <row r="282" spans="27:27" ht="15" customHeight="1">
      <c r="AA282" s="166"/>
    </row>
    <row r="283" spans="27:27" ht="15" customHeight="1">
      <c r="AA283" s="166"/>
    </row>
    <row r="284" spans="27:27" ht="15" customHeight="1">
      <c r="AA284" s="166"/>
    </row>
    <row r="285" spans="27:27" ht="15" customHeight="1">
      <c r="AA285" s="166"/>
    </row>
    <row r="286" spans="27:27" ht="15" customHeight="1">
      <c r="AA286" s="166"/>
    </row>
    <row r="287" spans="27:27" ht="15" customHeight="1">
      <c r="AA287" s="166"/>
    </row>
    <row r="288" spans="27:27" ht="15" customHeight="1">
      <c r="AA288" s="166"/>
    </row>
    <row r="289" spans="27:27" ht="15" customHeight="1">
      <c r="AA289" s="166"/>
    </row>
    <row r="290" spans="27:27" ht="15" customHeight="1">
      <c r="AA290" s="166"/>
    </row>
    <row r="291" spans="27:27" ht="15" customHeight="1">
      <c r="AA291" s="166"/>
    </row>
    <row r="292" spans="27:27" ht="15" customHeight="1">
      <c r="AA292" s="166"/>
    </row>
    <row r="293" spans="27:27" ht="15" customHeight="1">
      <c r="AA293" s="166"/>
    </row>
    <row r="294" spans="27:27" ht="15" customHeight="1">
      <c r="AA294" s="166"/>
    </row>
    <row r="295" spans="27:27" ht="15" customHeight="1">
      <c r="AA295" s="166"/>
    </row>
    <row r="296" spans="27:27" ht="15" customHeight="1">
      <c r="AA296" s="166"/>
    </row>
    <row r="297" spans="27:27" ht="15" customHeight="1">
      <c r="AA297" s="166"/>
    </row>
    <row r="298" spans="27:27" ht="15" customHeight="1">
      <c r="AA298" s="166"/>
    </row>
    <row r="299" spans="27:27" ht="15" customHeight="1">
      <c r="AA299" s="166"/>
    </row>
    <row r="300" spans="27:27" ht="15" customHeight="1">
      <c r="AA300" s="166"/>
    </row>
    <row r="301" spans="27:27" ht="15" customHeight="1">
      <c r="AA301" s="166"/>
    </row>
    <row r="302" spans="27:27" ht="15" customHeight="1">
      <c r="AA302" s="166"/>
    </row>
    <row r="303" spans="27:27" ht="15" customHeight="1">
      <c r="AA303" s="166"/>
    </row>
    <row r="304" spans="27:27" ht="15" customHeight="1">
      <c r="AA304" s="166"/>
    </row>
    <row r="305" spans="27:27" ht="15" customHeight="1">
      <c r="AA305" s="166"/>
    </row>
    <row r="306" spans="27:27" ht="15" customHeight="1">
      <c r="AA306" s="166"/>
    </row>
    <row r="307" spans="27:27" ht="15" customHeight="1">
      <c r="AA307" s="166"/>
    </row>
    <row r="308" spans="27:27" ht="15" customHeight="1">
      <c r="AA308" s="166"/>
    </row>
    <row r="309" spans="27:27" ht="15" customHeight="1">
      <c r="AA309" s="166"/>
    </row>
    <row r="310" spans="27:27" ht="15" customHeight="1">
      <c r="AA310" s="166"/>
    </row>
    <row r="311" spans="27:27" ht="15" customHeight="1">
      <c r="AA311" s="166"/>
    </row>
    <row r="312" spans="27:27" ht="15" customHeight="1">
      <c r="AA312" s="166"/>
    </row>
    <row r="313" spans="27:27" ht="15" customHeight="1">
      <c r="AA313" s="166"/>
    </row>
    <row r="314" spans="27:27" ht="15" customHeight="1">
      <c r="AA314" s="166"/>
    </row>
    <row r="315" spans="27:27" ht="15" customHeight="1">
      <c r="AA315" s="166"/>
    </row>
    <row r="316" spans="27:27" ht="15" customHeight="1">
      <c r="AA316" s="166"/>
    </row>
    <row r="317" spans="27:27" ht="15" customHeight="1">
      <c r="AA317" s="166"/>
    </row>
    <row r="318" spans="27:27" ht="15" customHeight="1">
      <c r="AA318" s="166"/>
    </row>
    <row r="319" spans="27:27" ht="15" customHeight="1">
      <c r="AA319" s="166"/>
    </row>
    <row r="320" spans="27:27" ht="15" customHeight="1">
      <c r="AA320" s="166"/>
    </row>
    <row r="321" spans="27:27" ht="15" customHeight="1">
      <c r="AA321" s="166"/>
    </row>
    <row r="322" spans="27:27" ht="15" customHeight="1">
      <c r="AA322" s="166"/>
    </row>
    <row r="323" spans="27:27" ht="15" customHeight="1">
      <c r="AA323" s="166"/>
    </row>
    <row r="324" spans="27:27" ht="15" customHeight="1">
      <c r="AA324" s="166"/>
    </row>
    <row r="325" spans="27:27" ht="15" customHeight="1">
      <c r="AA325" s="166"/>
    </row>
    <row r="326" spans="27:27" ht="15" customHeight="1">
      <c r="AA326" s="166"/>
    </row>
    <row r="327" spans="27:27" ht="15" customHeight="1">
      <c r="AA327" s="166"/>
    </row>
    <row r="328" spans="27:27" ht="15" customHeight="1">
      <c r="AA328" s="166"/>
    </row>
    <row r="329" spans="27:27" ht="15" customHeight="1">
      <c r="AA329" s="166"/>
    </row>
    <row r="330" spans="27:27" ht="15" customHeight="1">
      <c r="AA330" s="166"/>
    </row>
    <row r="331" spans="27:27" ht="15" customHeight="1">
      <c r="AA331" s="166"/>
    </row>
    <row r="332" spans="27:27" ht="15" customHeight="1">
      <c r="AA332" s="166"/>
    </row>
    <row r="333" spans="27:27" ht="15" customHeight="1">
      <c r="AA333" s="166"/>
    </row>
    <row r="334" spans="27:27" ht="15" customHeight="1">
      <c r="AA334" s="166"/>
    </row>
    <row r="335" spans="27:27" ht="15" customHeight="1">
      <c r="AA335" s="166"/>
    </row>
    <row r="336" spans="27:27" ht="15" customHeight="1">
      <c r="AA336" s="166"/>
    </row>
    <row r="337" spans="27:27" ht="15" customHeight="1">
      <c r="AA337" s="166"/>
    </row>
    <row r="338" spans="27:27" ht="15" customHeight="1">
      <c r="AA338" s="166"/>
    </row>
    <row r="339" spans="27:27" ht="15" customHeight="1">
      <c r="AA339" s="166"/>
    </row>
    <row r="340" spans="27:27" ht="15" customHeight="1">
      <c r="AA340" s="166"/>
    </row>
    <row r="341" spans="27:27" ht="15" customHeight="1">
      <c r="AA341" s="166"/>
    </row>
    <row r="342" spans="27:27" ht="15" customHeight="1">
      <c r="AA342" s="166"/>
    </row>
    <row r="343" spans="27:27" ht="15" customHeight="1">
      <c r="AA343" s="166"/>
    </row>
    <row r="344" spans="27:27" ht="15" customHeight="1">
      <c r="AA344" s="166"/>
    </row>
  </sheetData>
  <sheetProtection sheet="1" formatCells="0" formatColumns="0" formatRows="0"/>
  <mergeCells count="24">
    <mergeCell ref="D137:H137"/>
    <mergeCell ref="D4:H4"/>
    <mergeCell ref="I140:I141"/>
    <mergeCell ref="F38:H38"/>
    <mergeCell ref="D138:H138"/>
    <mergeCell ref="B38:D38"/>
    <mergeCell ref="A44:B44"/>
    <mergeCell ref="A76:B76"/>
    <mergeCell ref="A120:C121"/>
    <mergeCell ref="A45:B45"/>
    <mergeCell ref="A54:B54"/>
    <mergeCell ref="D72:H72"/>
    <mergeCell ref="D107:H107"/>
    <mergeCell ref="D71:H71"/>
    <mergeCell ref="D106:H106"/>
    <mergeCell ref="J44:L44"/>
    <mergeCell ref="D40:H40"/>
    <mergeCell ref="D39:H39"/>
    <mergeCell ref="K38:L38"/>
    <mergeCell ref="G1:I1"/>
    <mergeCell ref="L1:M1"/>
    <mergeCell ref="L2:M2"/>
    <mergeCell ref="B1:E1"/>
    <mergeCell ref="D3:H3"/>
  </mergeCells>
  <hyperlinks>
    <hyperlink ref="A60" location="BSA55P4AuditServiceExpense" display="Audit Service Expense"/>
    <hyperlink ref="A84" location="BSA55P4ActivityTripFactors" display="          Activity Trip Level Factor"/>
    <hyperlink ref="A63" location="DataEntryOtherInfol2" display="Adjustment for Remote Instructional Time calculated by ADE"/>
  </hyperlinks>
  <pageMargins left="0.5" right="0.2" top="0.75" bottom="0.75" header="0.3" footer="0.3"/>
  <pageSetup scale="62" orientation="landscape" r:id="rId1"/>
  <headerFooter>
    <oddFooter>&amp;L&amp;"Times New Roman,Bold"Rev. 5/23 Arizona Department of Education and Auditor General&amp;R&amp;"Times New Roman,Bold"Page &amp;P of &amp;N</oddFooter>
  </headerFooter>
  <rowBreaks count="4" manualBreakCount="4">
    <brk id="38" max="12" man="1"/>
    <brk id="70" max="12" man="1"/>
    <brk id="105" max="12" man="1"/>
    <brk id="136" max="12" man="1"/>
  </rowBreaks>
  <drawing r:id="rId2"/>
</worksheet>
</file>

<file path=xl/worksheets/sheet18.xml><?xml version="1.0" encoding="utf-8"?>
<worksheet xmlns="http://schemas.openxmlformats.org/spreadsheetml/2006/main" xmlns:r="http://schemas.openxmlformats.org/officeDocument/2006/relationships">
  <sheetPr>
    <pageSetUpPr fitToPage="1"/>
  </sheetPr>
  <dimension ref="A1:F156"/>
  <sheetViews>
    <sheetView showGridLines="0" topLeftCell="A77" zoomScale="85" zoomScaleNormal="85" workbookViewId="0">
      <selection activeCell="C79" sqref="C79"/>
    </sheetView>
  </sheetViews>
  <sheetFormatPr defaultColWidth="8.90625" defaultRowHeight="18"/>
  <cols>
    <col min="1" max="1" width="12" style="1371" customWidth="1"/>
    <col min="2" max="2" width="15" style="1353" customWidth="1"/>
    <col min="3" max="3" width="79" style="1371" customWidth="1"/>
    <col min="4" max="4" width="25.90625" style="1372" customWidth="1"/>
    <col min="5" max="5" width="32.90625" style="1325" customWidth="1"/>
    <col min="6" max="8" width="8.90625" style="1325" customWidth="1"/>
    <col min="9" max="16384" width="8.90625" style="1325"/>
  </cols>
  <sheetData>
    <row r="1" spans="1:5" ht="40.5" customHeight="1">
      <c r="A1" s="1323" t="s">
        <v>1072</v>
      </c>
      <c r="B1" s="1323" t="s">
        <v>1073</v>
      </c>
      <c r="C1" s="1323" t="s">
        <v>1074</v>
      </c>
      <c r="D1" s="1323" t="s">
        <v>1075</v>
      </c>
      <c r="E1" s="1324" t="s">
        <v>1076</v>
      </c>
    </row>
    <row r="2" spans="1:5" ht="259.5" customHeight="1">
      <c r="A2" s="1326"/>
      <c r="B2" s="1327" t="s">
        <v>1077</v>
      </c>
      <c r="C2" s="1328" t="s">
        <v>1078</v>
      </c>
      <c r="D2" s="1329"/>
      <c r="E2" s="1330"/>
    </row>
    <row r="3" spans="1:5" ht="19.5" customHeight="1">
      <c r="A3" s="1331"/>
      <c r="B3" s="1332"/>
      <c r="C3" s="1333" t="s">
        <v>1079</v>
      </c>
      <c r="D3" s="1334"/>
      <c r="E3" s="1331"/>
    </row>
    <row r="4" spans="1:5" ht="138" customHeight="1">
      <c r="A4" s="1335"/>
      <c r="B4" s="1336" t="s">
        <v>1077</v>
      </c>
      <c r="C4" s="1328" t="s">
        <v>1346</v>
      </c>
      <c r="D4" s="1337"/>
      <c r="E4" s="1335"/>
    </row>
    <row r="5" spans="1:5" ht="62.25" customHeight="1">
      <c r="A5" s="1335"/>
      <c r="B5" s="1336" t="s">
        <v>1077</v>
      </c>
      <c r="C5" s="1328" t="s">
        <v>1080</v>
      </c>
      <c r="D5" s="1337"/>
      <c r="E5" s="1335" t="s">
        <v>1081</v>
      </c>
    </row>
    <row r="6" spans="1:5" ht="318.75" customHeight="1">
      <c r="A6" s="1335"/>
      <c r="B6" s="1336" t="s">
        <v>1082</v>
      </c>
      <c r="C6" s="1328" t="s">
        <v>1083</v>
      </c>
      <c r="D6" s="1338" t="s">
        <v>1084</v>
      </c>
      <c r="E6" s="1335"/>
    </row>
    <row r="7" spans="1:5" ht="54">
      <c r="A7" s="1335"/>
      <c r="B7" s="1336" t="s">
        <v>1085</v>
      </c>
      <c r="C7" s="1328" t="s">
        <v>1086</v>
      </c>
      <c r="D7" s="1338" t="s">
        <v>1084</v>
      </c>
      <c r="E7" s="1335"/>
    </row>
    <row r="8" spans="1:5" ht="144" customHeight="1">
      <c r="A8" s="1336" t="s">
        <v>1087</v>
      </c>
      <c r="B8" s="1336" t="s">
        <v>1088</v>
      </c>
      <c r="C8" s="1328" t="s">
        <v>1089</v>
      </c>
      <c r="D8" s="1337"/>
      <c r="E8" s="1335"/>
    </row>
    <row r="9" spans="1:5" ht="231.75" customHeight="1">
      <c r="A9" s="1336" t="s">
        <v>1087</v>
      </c>
      <c r="B9" s="1336" t="s">
        <v>1090</v>
      </c>
      <c r="C9" s="1328" t="s">
        <v>1091</v>
      </c>
      <c r="D9" s="1338" t="s">
        <v>1084</v>
      </c>
      <c r="E9" s="1335"/>
    </row>
    <row r="10" spans="1:5" ht="130.5" customHeight="1">
      <c r="A10" s="1336" t="s">
        <v>1092</v>
      </c>
      <c r="B10" s="1336"/>
      <c r="C10" s="1328" t="s">
        <v>1093</v>
      </c>
      <c r="D10" s="1338" t="s">
        <v>1084</v>
      </c>
      <c r="E10" s="1335"/>
    </row>
    <row r="11" spans="1:5" ht="76.5" customHeight="1">
      <c r="A11" s="1824">
        <v>1</v>
      </c>
      <c r="B11" s="1824" t="s">
        <v>1094</v>
      </c>
      <c r="C11" s="1339" t="s">
        <v>1095</v>
      </c>
      <c r="D11" s="1826"/>
      <c r="E11" s="1820"/>
    </row>
    <row r="12" spans="1:5" ht="18" customHeight="1">
      <c r="A12" s="1825"/>
      <c r="B12" s="1825"/>
      <c r="C12" s="1340" t="s">
        <v>1096</v>
      </c>
      <c r="D12" s="1827"/>
      <c r="E12" s="1821"/>
    </row>
    <row r="13" spans="1:5" ht="150" customHeight="1">
      <c r="A13" s="1336">
        <v>1</v>
      </c>
      <c r="B13" s="1336" t="s">
        <v>1097</v>
      </c>
      <c r="C13" s="1328" t="s">
        <v>1098</v>
      </c>
      <c r="D13" s="1338" t="s">
        <v>1084</v>
      </c>
      <c r="E13" s="1335"/>
    </row>
    <row r="14" spans="1:5" ht="67.5" customHeight="1">
      <c r="A14" s="1336">
        <v>1</v>
      </c>
      <c r="B14" s="1336" t="s">
        <v>1099</v>
      </c>
      <c r="C14" s="1328" t="s">
        <v>1100</v>
      </c>
      <c r="D14" s="1337"/>
      <c r="E14" s="1335"/>
    </row>
    <row r="15" spans="1:5" ht="162" customHeight="1">
      <c r="A15" s="1336">
        <v>1</v>
      </c>
      <c r="B15" s="1336" t="s">
        <v>1101</v>
      </c>
      <c r="C15" s="1328" t="s">
        <v>1102</v>
      </c>
      <c r="D15" s="1337"/>
      <c r="E15" s="1335"/>
    </row>
    <row r="16" spans="1:5" ht="141" customHeight="1">
      <c r="A16" s="1824">
        <v>1</v>
      </c>
      <c r="B16" s="1824" t="s">
        <v>1103</v>
      </c>
      <c r="C16" s="1341" t="s">
        <v>1104</v>
      </c>
      <c r="D16" s="1826"/>
      <c r="E16" s="1822"/>
    </row>
    <row r="17" spans="1:5" ht="21" customHeight="1">
      <c r="A17" s="1825"/>
      <c r="B17" s="1825"/>
      <c r="C17" s="1340" t="s">
        <v>1105</v>
      </c>
      <c r="D17" s="1827"/>
      <c r="E17" s="1823"/>
    </row>
    <row r="18" spans="1:5" ht="162.75" customHeight="1">
      <c r="A18" s="1336">
        <v>2</v>
      </c>
      <c r="B18" s="1336" t="s">
        <v>1106</v>
      </c>
      <c r="C18" s="1328" t="s">
        <v>1107</v>
      </c>
      <c r="D18" s="1337"/>
      <c r="E18" s="1342"/>
    </row>
    <row r="19" spans="1:5" ht="70.5" customHeight="1">
      <c r="A19" s="1336">
        <v>2</v>
      </c>
      <c r="B19" s="1336" t="s">
        <v>1108</v>
      </c>
      <c r="C19" s="1343" t="s">
        <v>1109</v>
      </c>
      <c r="D19" s="1337"/>
      <c r="E19" s="1335"/>
    </row>
    <row r="20" spans="1:5" ht="48.75" customHeight="1">
      <c r="A20" s="1336">
        <v>2</v>
      </c>
      <c r="B20" s="1336" t="s">
        <v>1110</v>
      </c>
      <c r="C20" s="1335" t="s">
        <v>1111</v>
      </c>
      <c r="D20" s="1337"/>
      <c r="E20" s="1335"/>
    </row>
    <row r="21" spans="1:5" ht="66.75" customHeight="1">
      <c r="A21" s="1336">
        <v>2</v>
      </c>
      <c r="B21" s="1336" t="s">
        <v>1112</v>
      </c>
      <c r="C21" s="1328" t="s">
        <v>1113</v>
      </c>
      <c r="D21" s="1337"/>
      <c r="E21" s="1335"/>
    </row>
    <row r="22" spans="1:5" ht="242.25" customHeight="1">
      <c r="A22" s="1336">
        <v>2</v>
      </c>
      <c r="B22" s="1336" t="s">
        <v>1114</v>
      </c>
      <c r="C22" s="1328" t="s">
        <v>1115</v>
      </c>
      <c r="D22" s="1338" t="s">
        <v>1084</v>
      </c>
      <c r="E22" s="1335"/>
    </row>
    <row r="23" spans="1:5" ht="153.75" customHeight="1">
      <c r="A23" s="1336">
        <v>3</v>
      </c>
      <c r="B23" s="1336" t="s">
        <v>1077</v>
      </c>
      <c r="C23" s="1328" t="s">
        <v>1116</v>
      </c>
      <c r="D23" s="1337"/>
      <c r="E23" s="1342"/>
    </row>
    <row r="24" spans="1:5" ht="48" customHeight="1">
      <c r="A24" s="1336">
        <v>3</v>
      </c>
      <c r="B24" s="1336" t="s">
        <v>1094</v>
      </c>
      <c r="C24" s="1344" t="s">
        <v>1117</v>
      </c>
      <c r="D24" s="1337"/>
      <c r="E24" s="1342"/>
    </row>
    <row r="25" spans="1:5" ht="92.25" customHeight="1">
      <c r="A25" s="1336">
        <v>3</v>
      </c>
      <c r="B25" s="1336" t="s">
        <v>1097</v>
      </c>
      <c r="C25" s="1328" t="s">
        <v>1118</v>
      </c>
      <c r="D25" s="1337"/>
      <c r="E25" s="1335"/>
    </row>
    <row r="26" spans="1:5" ht="72" customHeight="1">
      <c r="A26" s="1336">
        <v>3</v>
      </c>
      <c r="B26" s="1336" t="s">
        <v>1119</v>
      </c>
      <c r="C26" s="1328" t="s">
        <v>1120</v>
      </c>
      <c r="D26" s="1338" t="s">
        <v>1084</v>
      </c>
      <c r="E26" s="1342"/>
    </row>
    <row r="27" spans="1:5" ht="65.25" customHeight="1">
      <c r="A27" s="1336">
        <v>3</v>
      </c>
      <c r="B27" s="1336" t="s">
        <v>1121</v>
      </c>
      <c r="C27" s="1328" t="s">
        <v>1122</v>
      </c>
      <c r="D27" s="1338" t="s">
        <v>1084</v>
      </c>
      <c r="E27" s="1335"/>
    </row>
    <row r="28" spans="1:5" ht="147" customHeight="1">
      <c r="A28" s="1336">
        <v>3</v>
      </c>
      <c r="B28" s="1336" t="s">
        <v>1123</v>
      </c>
      <c r="C28" s="1335" t="s">
        <v>1356</v>
      </c>
      <c r="D28" s="1337"/>
      <c r="E28" s="1335"/>
    </row>
    <row r="29" spans="1:5" ht="28.5" customHeight="1">
      <c r="A29" s="1335"/>
      <c r="B29" s="1336"/>
      <c r="C29" s="1340" t="s">
        <v>1124</v>
      </c>
      <c r="D29" s="1337"/>
      <c r="E29" s="1335"/>
    </row>
    <row r="30" spans="1:5" ht="60.75" customHeight="1">
      <c r="A30" s="1336">
        <v>3</v>
      </c>
      <c r="B30" s="1336" t="s">
        <v>1125</v>
      </c>
      <c r="C30" s="1328" t="s">
        <v>1126</v>
      </c>
      <c r="D30" s="1337"/>
      <c r="E30" s="1335"/>
    </row>
    <row r="31" spans="1:5" ht="75.75" customHeight="1">
      <c r="A31" s="1336">
        <v>4</v>
      </c>
      <c r="B31" s="1336" t="s">
        <v>1127</v>
      </c>
      <c r="C31" s="1328" t="s">
        <v>1128</v>
      </c>
      <c r="D31" s="1337"/>
      <c r="E31" s="1345" t="s">
        <v>1347</v>
      </c>
    </row>
    <row r="32" spans="1:5" ht="223.5" customHeight="1">
      <c r="A32" s="1336">
        <v>4</v>
      </c>
      <c r="B32" s="1336" t="s">
        <v>1129</v>
      </c>
      <c r="C32" s="1328" t="s">
        <v>1130</v>
      </c>
      <c r="D32" s="1338" t="s">
        <v>1084</v>
      </c>
      <c r="E32" s="1335"/>
    </row>
    <row r="33" spans="1:5" ht="254.25" customHeight="1">
      <c r="A33" s="1336">
        <v>5</v>
      </c>
      <c r="B33" s="1336" t="s">
        <v>1131</v>
      </c>
      <c r="C33" s="1328" t="s">
        <v>1132</v>
      </c>
      <c r="D33" s="1337"/>
      <c r="E33" s="1328"/>
    </row>
    <row r="34" spans="1:5" ht="184.5" customHeight="1">
      <c r="A34" s="1336">
        <v>5</v>
      </c>
      <c r="B34" s="1336" t="s">
        <v>1133</v>
      </c>
      <c r="C34" s="1328" t="s">
        <v>1134</v>
      </c>
      <c r="D34" s="1337"/>
      <c r="E34" s="1335"/>
    </row>
    <row r="35" spans="1:5" ht="98.25" customHeight="1">
      <c r="A35" s="1336">
        <v>6</v>
      </c>
      <c r="B35" s="1336" t="s">
        <v>1135</v>
      </c>
      <c r="C35" s="1328" t="s">
        <v>1136</v>
      </c>
      <c r="D35" s="1337"/>
      <c r="E35" s="1335"/>
    </row>
    <row r="36" spans="1:5" ht="81.900000000000006" customHeight="1">
      <c r="A36" s="1336">
        <v>6</v>
      </c>
      <c r="B36" s="1336" t="s">
        <v>1137</v>
      </c>
      <c r="C36" s="1328" t="s">
        <v>1355</v>
      </c>
      <c r="D36" s="1337"/>
      <c r="E36" s="1335"/>
    </row>
    <row r="37" spans="1:5" ht="222.75" customHeight="1">
      <c r="A37" s="1336">
        <v>6</v>
      </c>
      <c r="B37" s="1336" t="s">
        <v>1138</v>
      </c>
      <c r="C37" s="1328" t="s">
        <v>1139</v>
      </c>
      <c r="D37" s="1337"/>
      <c r="E37" s="1335"/>
    </row>
    <row r="38" spans="1:5" ht="117.6" customHeight="1">
      <c r="A38" s="1346">
        <v>6</v>
      </c>
      <c r="B38" s="1346" t="s">
        <v>1140</v>
      </c>
      <c r="C38" s="1347" t="s">
        <v>1141</v>
      </c>
      <c r="D38" s="1337"/>
      <c r="E38" s="1345" t="s">
        <v>1348</v>
      </c>
    </row>
    <row r="39" spans="1:5" ht="57" customHeight="1">
      <c r="A39" s="1336">
        <v>6</v>
      </c>
      <c r="B39" s="1336" t="s">
        <v>1142</v>
      </c>
      <c r="C39" s="1328" t="s">
        <v>1143</v>
      </c>
      <c r="D39" s="1337"/>
      <c r="E39" s="1335"/>
    </row>
    <row r="40" spans="1:5" ht="124.5" customHeight="1">
      <c r="A40" s="1336">
        <v>6</v>
      </c>
      <c r="B40" s="1336" t="s">
        <v>1144</v>
      </c>
      <c r="C40" s="1328" t="s">
        <v>1145</v>
      </c>
      <c r="D40" s="1337"/>
      <c r="E40" s="1335"/>
    </row>
    <row r="41" spans="1:5" ht="315.75" customHeight="1">
      <c r="A41" s="1336">
        <v>6</v>
      </c>
      <c r="B41" s="1336" t="s">
        <v>1146</v>
      </c>
      <c r="C41" s="1328" t="s">
        <v>1147</v>
      </c>
      <c r="D41" s="1337"/>
      <c r="E41" s="1335"/>
    </row>
    <row r="42" spans="1:5" ht="108" customHeight="1">
      <c r="A42" s="1336">
        <v>6</v>
      </c>
      <c r="B42" s="1336" t="s">
        <v>1148</v>
      </c>
      <c r="C42" s="1328" t="s">
        <v>1149</v>
      </c>
      <c r="D42" s="1337"/>
      <c r="E42" s="1335"/>
    </row>
    <row r="43" spans="1:5" ht="61.5" customHeight="1">
      <c r="A43" s="1336">
        <v>6</v>
      </c>
      <c r="B43" s="1336" t="s">
        <v>1150</v>
      </c>
      <c r="C43" s="1328" t="s">
        <v>1151</v>
      </c>
      <c r="D43" s="1337"/>
      <c r="E43" s="1335"/>
    </row>
    <row r="44" spans="1:5" ht="42.75" customHeight="1">
      <c r="A44" s="1336">
        <v>6</v>
      </c>
      <c r="B44" s="1336" t="s">
        <v>1152</v>
      </c>
      <c r="C44" s="1328" t="s">
        <v>1153</v>
      </c>
      <c r="D44" s="1337"/>
      <c r="E44" s="1335"/>
    </row>
    <row r="45" spans="1:5" ht="59.25" customHeight="1">
      <c r="A45" s="1336">
        <v>6</v>
      </c>
      <c r="B45" s="1336" t="s">
        <v>1154</v>
      </c>
      <c r="C45" s="1328" t="s">
        <v>1155</v>
      </c>
      <c r="D45" s="1337"/>
      <c r="E45" s="1335"/>
    </row>
    <row r="46" spans="1:5" ht="68.25" customHeight="1">
      <c r="A46" s="1336">
        <v>6</v>
      </c>
      <c r="B46" s="1336" t="s">
        <v>1156</v>
      </c>
      <c r="C46" s="1328" t="s">
        <v>1157</v>
      </c>
      <c r="D46" s="1337"/>
      <c r="E46" s="1335"/>
    </row>
    <row r="47" spans="1:5" ht="255.75" customHeight="1">
      <c r="A47" s="1336">
        <v>7</v>
      </c>
      <c r="B47" s="1336" t="s">
        <v>1077</v>
      </c>
      <c r="C47" s="1328" t="s">
        <v>1158</v>
      </c>
      <c r="D47" s="1338" t="s">
        <v>1084</v>
      </c>
      <c r="E47" s="1335"/>
    </row>
    <row r="48" spans="1:5" ht="139.5" customHeight="1">
      <c r="A48" s="1336">
        <v>7</v>
      </c>
      <c r="B48" s="1336" t="s">
        <v>1159</v>
      </c>
      <c r="C48" s="1328" t="s">
        <v>1160</v>
      </c>
      <c r="D48" s="1338" t="s">
        <v>1084</v>
      </c>
      <c r="E48" s="1335"/>
    </row>
    <row r="49" spans="1:6" ht="116.25" customHeight="1">
      <c r="A49" s="1336">
        <v>7</v>
      </c>
      <c r="B49" s="1336" t="s">
        <v>1161</v>
      </c>
      <c r="C49" s="1328" t="s">
        <v>1162</v>
      </c>
      <c r="D49" s="1338" t="s">
        <v>1084</v>
      </c>
      <c r="E49" s="1335"/>
    </row>
    <row r="50" spans="1:6" ht="130.5" customHeight="1">
      <c r="A50" s="1336">
        <v>7</v>
      </c>
      <c r="B50" s="1336" t="s">
        <v>1163</v>
      </c>
      <c r="C50" s="1328" t="s">
        <v>1164</v>
      </c>
      <c r="D50" s="1337"/>
      <c r="E50" s="1342"/>
      <c r="F50" s="1348"/>
    </row>
    <row r="51" spans="1:6" ht="171" customHeight="1">
      <c r="A51" s="1336">
        <v>7</v>
      </c>
      <c r="B51" s="1336" t="s">
        <v>1165</v>
      </c>
      <c r="C51" s="1349" t="s">
        <v>1166</v>
      </c>
      <c r="D51" s="1337"/>
      <c r="E51" s="1335"/>
    </row>
    <row r="52" spans="1:6" ht="36">
      <c r="A52" s="1335"/>
      <c r="B52" s="1336"/>
      <c r="C52" s="1350" t="s">
        <v>1167</v>
      </c>
      <c r="D52" s="1337"/>
      <c r="E52" s="1335"/>
    </row>
    <row r="53" spans="1:6" ht="149.25" customHeight="1">
      <c r="A53" s="1336">
        <v>7</v>
      </c>
      <c r="B53" s="1336" t="s">
        <v>1168</v>
      </c>
      <c r="C53" s="1351" t="s">
        <v>1169</v>
      </c>
      <c r="D53" s="1337"/>
      <c r="E53" s="1335"/>
    </row>
    <row r="54" spans="1:6" ht="79.5" customHeight="1">
      <c r="A54" s="1336">
        <v>7</v>
      </c>
      <c r="B54" s="1336" t="s">
        <v>1170</v>
      </c>
      <c r="C54" s="1328" t="s">
        <v>1171</v>
      </c>
      <c r="D54" s="1337"/>
      <c r="E54" s="1335"/>
    </row>
    <row r="55" spans="1:6" ht="215.25" customHeight="1">
      <c r="A55" s="1336">
        <v>7</v>
      </c>
      <c r="B55" s="1336" t="s">
        <v>1172</v>
      </c>
      <c r="C55" s="1328" t="s">
        <v>1173</v>
      </c>
      <c r="D55" s="1337"/>
      <c r="E55" s="1335"/>
    </row>
    <row r="56" spans="1:6" ht="226.5" customHeight="1">
      <c r="A56" s="1336">
        <v>7</v>
      </c>
      <c r="B56" s="1336" t="s">
        <v>1174</v>
      </c>
      <c r="C56" s="1328" t="s">
        <v>1175</v>
      </c>
      <c r="D56" s="1337"/>
      <c r="E56" s="1335"/>
    </row>
    <row r="57" spans="1:6" ht="161.25" customHeight="1">
      <c r="A57" s="1336">
        <v>7</v>
      </c>
      <c r="B57" s="1336" t="s">
        <v>1176</v>
      </c>
      <c r="C57" s="1328" t="s">
        <v>1177</v>
      </c>
      <c r="D57" s="1338" t="s">
        <v>1084</v>
      </c>
      <c r="E57" s="1335"/>
    </row>
    <row r="58" spans="1:6" ht="284.25" customHeight="1">
      <c r="A58" s="1336">
        <v>7</v>
      </c>
      <c r="B58" s="1336" t="s">
        <v>1094</v>
      </c>
      <c r="C58" s="1328" t="s">
        <v>1178</v>
      </c>
      <c r="D58" s="1338" t="s">
        <v>1084</v>
      </c>
      <c r="E58" s="1335"/>
    </row>
    <row r="59" spans="1:6" ht="28.5" customHeight="1">
      <c r="A59" s="1336"/>
      <c r="B59" s="1336"/>
      <c r="C59" s="1333" t="s">
        <v>1179</v>
      </c>
      <c r="D59" s="1338"/>
      <c r="E59" s="1335"/>
    </row>
    <row r="60" spans="1:6" ht="159" customHeight="1">
      <c r="A60" s="1336">
        <v>7</v>
      </c>
      <c r="B60" s="1336" t="s">
        <v>1180</v>
      </c>
      <c r="C60" s="1328" t="s">
        <v>1349</v>
      </c>
      <c r="D60" s="1338" t="s">
        <v>1084</v>
      </c>
      <c r="E60" s="1335"/>
    </row>
    <row r="61" spans="1:6" ht="39" customHeight="1">
      <c r="A61" s="1336">
        <v>7</v>
      </c>
      <c r="B61" s="1336" t="s">
        <v>1181</v>
      </c>
      <c r="C61" s="1328" t="s">
        <v>1182</v>
      </c>
      <c r="D61" s="1337"/>
      <c r="E61" s="1335"/>
    </row>
    <row r="62" spans="1:6" ht="27.75" customHeight="1">
      <c r="A62" s="1336"/>
      <c r="B62" s="1336"/>
      <c r="C62" s="1352" t="s">
        <v>1183</v>
      </c>
      <c r="D62" s="1337"/>
      <c r="E62" s="1335"/>
    </row>
    <row r="63" spans="1:6" ht="195.75" customHeight="1">
      <c r="A63" s="1336">
        <v>7</v>
      </c>
      <c r="B63" s="1336" t="s">
        <v>1184</v>
      </c>
      <c r="C63" s="1328" t="s">
        <v>1185</v>
      </c>
      <c r="D63" s="1338" t="s">
        <v>1084</v>
      </c>
      <c r="E63" s="1335"/>
    </row>
    <row r="64" spans="1:6" ht="30" customHeight="1">
      <c r="A64" s="1336"/>
      <c r="B64" s="1336"/>
      <c r="C64" s="1352" t="s">
        <v>1183</v>
      </c>
      <c r="D64" s="1337"/>
      <c r="E64" s="1335"/>
    </row>
    <row r="65" spans="1:5" ht="390.75" customHeight="1">
      <c r="A65" s="1336">
        <v>7</v>
      </c>
      <c r="B65" s="1336" t="s">
        <v>1186</v>
      </c>
      <c r="C65" s="1328" t="s">
        <v>1187</v>
      </c>
      <c r="D65" s="1338" t="s">
        <v>1084</v>
      </c>
      <c r="E65" s="1335"/>
    </row>
    <row r="66" spans="1:5" ht="79.5" customHeight="1">
      <c r="A66" s="1336">
        <v>7</v>
      </c>
      <c r="B66" s="1336" t="s">
        <v>1188</v>
      </c>
      <c r="C66" s="1328" t="s">
        <v>1189</v>
      </c>
      <c r="D66" s="1337"/>
      <c r="E66" s="1335"/>
    </row>
    <row r="67" spans="1:5" ht="315.75" customHeight="1">
      <c r="A67" s="1336">
        <v>7</v>
      </c>
      <c r="B67" s="1336" t="s">
        <v>1190</v>
      </c>
      <c r="C67" s="1328" t="s">
        <v>1191</v>
      </c>
      <c r="D67" s="1338" t="s">
        <v>1084</v>
      </c>
      <c r="E67" s="1335"/>
    </row>
    <row r="68" spans="1:5" ht="102.75" customHeight="1">
      <c r="A68" s="1336">
        <v>7</v>
      </c>
      <c r="B68" s="1336" t="s">
        <v>1192</v>
      </c>
      <c r="C68" s="1328" t="s">
        <v>1193</v>
      </c>
      <c r="D68" s="1337"/>
      <c r="E68" s="1335"/>
    </row>
    <row r="69" spans="1:5" ht="182.25" customHeight="1">
      <c r="A69" s="1336">
        <v>7</v>
      </c>
      <c r="B69" s="1336" t="s">
        <v>1194</v>
      </c>
      <c r="C69" s="1328" t="s">
        <v>1195</v>
      </c>
      <c r="D69" s="1337"/>
      <c r="E69" s="1335"/>
    </row>
    <row r="70" spans="1:5" ht="163.5" customHeight="1">
      <c r="A70" s="1336">
        <v>7</v>
      </c>
      <c r="B70" s="1336" t="s">
        <v>1196</v>
      </c>
      <c r="C70" s="1343" t="s">
        <v>1197</v>
      </c>
      <c r="D70" s="1337"/>
      <c r="E70" s="1335"/>
    </row>
    <row r="71" spans="1:5" ht="121.5" customHeight="1">
      <c r="A71" s="1336">
        <v>7</v>
      </c>
      <c r="B71" s="1336" t="s">
        <v>1198</v>
      </c>
      <c r="C71" s="1328" t="s">
        <v>1199</v>
      </c>
      <c r="D71" s="1338" t="s">
        <v>1084</v>
      </c>
      <c r="E71" s="1335"/>
    </row>
    <row r="72" spans="1:5" ht="90.75" customHeight="1">
      <c r="A72" s="1336">
        <v>7</v>
      </c>
      <c r="B72" s="1336" t="s">
        <v>1200</v>
      </c>
      <c r="C72" s="1328" t="s">
        <v>1201</v>
      </c>
      <c r="D72" s="1337"/>
      <c r="E72" s="1335"/>
    </row>
    <row r="73" spans="1:5">
      <c r="A73" s="1336"/>
      <c r="C73" s="1340" t="s">
        <v>1202</v>
      </c>
      <c r="D73" s="1337"/>
      <c r="E73" s="1335"/>
    </row>
    <row r="74" spans="1:5" ht="147" customHeight="1">
      <c r="A74" s="1336">
        <v>7</v>
      </c>
      <c r="B74" s="1336" t="s">
        <v>1203</v>
      </c>
      <c r="C74" s="1328" t="s">
        <v>1204</v>
      </c>
      <c r="D74" s="1354" t="s">
        <v>1084</v>
      </c>
      <c r="E74" s="1335"/>
    </row>
    <row r="75" spans="1:5" ht="201.75" customHeight="1">
      <c r="A75" s="1336">
        <v>7</v>
      </c>
      <c r="B75" s="1336" t="s">
        <v>1097</v>
      </c>
      <c r="C75" s="1328" t="s">
        <v>1205</v>
      </c>
      <c r="D75" s="1354" t="s">
        <v>1084</v>
      </c>
      <c r="E75" s="1335"/>
    </row>
    <row r="76" spans="1:5" ht="247.5" customHeight="1">
      <c r="A76" s="1336">
        <v>7</v>
      </c>
      <c r="B76" s="1336" t="s">
        <v>1127</v>
      </c>
      <c r="C76" s="1328" t="s">
        <v>1206</v>
      </c>
      <c r="D76" s="1338" t="s">
        <v>1084</v>
      </c>
      <c r="E76" s="1335"/>
    </row>
    <row r="77" spans="1:5" ht="30" customHeight="1">
      <c r="A77" s="1336"/>
      <c r="B77" s="1336"/>
      <c r="C77" s="1333" t="s">
        <v>1124</v>
      </c>
      <c r="D77" s="1337"/>
      <c r="E77" s="1335"/>
    </row>
    <row r="78" spans="1:5" ht="26.25" customHeight="1">
      <c r="A78" s="1336"/>
      <c r="B78" s="1336"/>
      <c r="C78" s="1340" t="s">
        <v>1207</v>
      </c>
      <c r="D78" s="1338" t="s">
        <v>1084</v>
      </c>
      <c r="E78" s="1335"/>
    </row>
    <row r="79" spans="1:5" ht="229.5" customHeight="1">
      <c r="A79" s="1346">
        <v>7</v>
      </c>
      <c r="B79" s="1346" t="s">
        <v>1119</v>
      </c>
      <c r="C79" s="1347" t="s">
        <v>1353</v>
      </c>
      <c r="D79" s="1338" t="s">
        <v>1084</v>
      </c>
      <c r="E79" s="1355" t="s">
        <v>1350</v>
      </c>
    </row>
    <row r="80" spans="1:5" ht="120.75" customHeight="1">
      <c r="A80" s="1336">
        <v>8</v>
      </c>
      <c r="B80" s="1336" t="s">
        <v>1208</v>
      </c>
      <c r="C80" s="1328" t="s">
        <v>1209</v>
      </c>
      <c r="D80" s="1338" t="s">
        <v>1084</v>
      </c>
      <c r="E80" s="1335"/>
    </row>
    <row r="81" spans="1:5">
      <c r="A81" s="1336"/>
      <c r="B81" s="1336"/>
      <c r="C81" s="1340" t="s">
        <v>1210</v>
      </c>
      <c r="D81" s="1338"/>
      <c r="E81" s="1335"/>
    </row>
    <row r="82" spans="1:5" ht="86.25" customHeight="1">
      <c r="A82" s="1336">
        <v>8</v>
      </c>
      <c r="B82" s="1336" t="s">
        <v>1211</v>
      </c>
      <c r="C82" s="1328" t="s">
        <v>1212</v>
      </c>
      <c r="D82" s="1338" t="s">
        <v>1084</v>
      </c>
      <c r="E82" s="1335"/>
    </row>
    <row r="83" spans="1:5">
      <c r="A83" s="1336"/>
      <c r="B83" s="1336"/>
      <c r="C83" s="1340" t="s">
        <v>1210</v>
      </c>
      <c r="D83" s="1338"/>
      <c r="E83" s="1335"/>
    </row>
    <row r="84" spans="1:5" ht="93" customHeight="1">
      <c r="A84" s="1336">
        <v>8</v>
      </c>
      <c r="B84" s="1336" t="s">
        <v>1184</v>
      </c>
      <c r="C84" s="1328" t="s">
        <v>1213</v>
      </c>
      <c r="D84" s="1338" t="s">
        <v>1084</v>
      </c>
      <c r="E84" s="1335"/>
    </row>
    <row r="85" spans="1:5" ht="64.5" customHeight="1">
      <c r="A85" s="1336">
        <v>8</v>
      </c>
      <c r="B85" s="1336" t="s">
        <v>1214</v>
      </c>
      <c r="C85" s="1328" t="s">
        <v>1215</v>
      </c>
      <c r="D85" s="1338" t="s">
        <v>1084</v>
      </c>
      <c r="E85" s="1335"/>
    </row>
    <row r="86" spans="1:5" ht="132" customHeight="1">
      <c r="A86" s="1336">
        <v>8</v>
      </c>
      <c r="B86" s="1336" t="s">
        <v>1097</v>
      </c>
      <c r="C86" s="1328" t="s">
        <v>1216</v>
      </c>
      <c r="D86" s="1338" t="s">
        <v>1084</v>
      </c>
      <c r="E86" s="1335"/>
    </row>
    <row r="87" spans="1:5">
      <c r="A87" s="1336"/>
      <c r="B87" s="1336"/>
      <c r="C87" s="1340" t="s">
        <v>1210</v>
      </c>
      <c r="D87" s="1338"/>
      <c r="E87" s="1335"/>
    </row>
    <row r="88" spans="1:5" ht="125.25" customHeight="1">
      <c r="A88" s="1336">
        <v>8</v>
      </c>
      <c r="B88" s="1336" t="s">
        <v>1127</v>
      </c>
      <c r="C88" s="1328" t="s">
        <v>1217</v>
      </c>
      <c r="D88" s="1337"/>
      <c r="E88" s="1335"/>
    </row>
    <row r="89" spans="1:5">
      <c r="A89" s="1336"/>
      <c r="B89" s="1336"/>
      <c r="C89" s="1340" t="s">
        <v>1210</v>
      </c>
      <c r="D89" s="1337"/>
      <c r="E89" s="1335"/>
    </row>
    <row r="90" spans="1:5" ht="81.75" customHeight="1">
      <c r="A90" s="1336">
        <v>8</v>
      </c>
      <c r="B90" s="1336" t="s">
        <v>1218</v>
      </c>
      <c r="C90" s="1328" t="s">
        <v>1219</v>
      </c>
      <c r="D90" s="1338" t="s">
        <v>1084</v>
      </c>
      <c r="E90" s="1335"/>
    </row>
    <row r="91" spans="1:5" ht="305.25" customHeight="1">
      <c r="A91" s="1336" t="s">
        <v>1220</v>
      </c>
      <c r="B91" s="1336" t="s">
        <v>1221</v>
      </c>
      <c r="C91" s="1328" t="s">
        <v>1222</v>
      </c>
      <c r="D91" s="1337"/>
      <c r="E91" s="1335"/>
    </row>
    <row r="92" spans="1:5" ht="152.25" customHeight="1">
      <c r="A92" s="1336" t="s">
        <v>1223</v>
      </c>
      <c r="B92" s="1336" t="s">
        <v>1224</v>
      </c>
      <c r="C92" s="1328" t="s">
        <v>1225</v>
      </c>
      <c r="D92" s="1337"/>
      <c r="E92" s="1335"/>
    </row>
    <row r="93" spans="1:5" ht="187.5" customHeight="1">
      <c r="A93" s="1336" t="s">
        <v>1223</v>
      </c>
      <c r="B93" s="1336" t="s">
        <v>1224</v>
      </c>
      <c r="C93" s="1328" t="s">
        <v>1226</v>
      </c>
      <c r="D93" s="1337"/>
      <c r="E93" s="1335"/>
    </row>
    <row r="94" spans="1:5" ht="183.75" customHeight="1">
      <c r="A94" s="1336" t="s">
        <v>1223</v>
      </c>
      <c r="B94" s="1336" t="s">
        <v>1224</v>
      </c>
      <c r="C94" s="1328" t="s">
        <v>1227</v>
      </c>
      <c r="D94" s="1337"/>
      <c r="E94" s="1335"/>
    </row>
    <row r="95" spans="1:5" ht="126" customHeight="1">
      <c r="A95" s="1336" t="s">
        <v>1223</v>
      </c>
      <c r="B95" s="1336" t="s">
        <v>1224</v>
      </c>
      <c r="C95" s="1328" t="s">
        <v>1228</v>
      </c>
      <c r="D95" s="1337"/>
      <c r="E95" s="1335"/>
    </row>
    <row r="96" spans="1:5" ht="82.5" customHeight="1">
      <c r="A96" s="1336" t="s">
        <v>1229</v>
      </c>
      <c r="B96" s="1336" t="s">
        <v>1230</v>
      </c>
      <c r="C96" s="1328" t="s">
        <v>1351</v>
      </c>
      <c r="D96" s="1337"/>
      <c r="E96" s="1335"/>
    </row>
    <row r="97" spans="1:6" ht="104.25" customHeight="1">
      <c r="A97" s="1336" t="s">
        <v>1231</v>
      </c>
      <c r="B97" s="1336" t="s">
        <v>1077</v>
      </c>
      <c r="C97" s="1328" t="s">
        <v>1232</v>
      </c>
      <c r="D97" s="1337"/>
      <c r="E97" s="1335"/>
    </row>
    <row r="98" spans="1:6" ht="262.5" customHeight="1">
      <c r="A98" s="1336" t="s">
        <v>1231</v>
      </c>
      <c r="B98" s="1336" t="s">
        <v>1233</v>
      </c>
      <c r="C98" s="1328" t="s">
        <v>1234</v>
      </c>
      <c r="D98" s="1337"/>
      <c r="E98" s="1335"/>
    </row>
    <row r="99" spans="1:6" ht="68.25" customHeight="1">
      <c r="A99" s="1336" t="s">
        <v>1231</v>
      </c>
      <c r="B99" s="1336" t="s">
        <v>1233</v>
      </c>
      <c r="C99" s="1328" t="s">
        <v>1235</v>
      </c>
      <c r="D99" s="1337"/>
      <c r="E99" s="1335"/>
    </row>
    <row r="100" spans="1:6" ht="105" customHeight="1">
      <c r="A100" s="1336" t="s">
        <v>1231</v>
      </c>
      <c r="B100" s="1336" t="s">
        <v>1159</v>
      </c>
      <c r="C100" s="1356" t="s">
        <v>1236</v>
      </c>
      <c r="D100" s="1337"/>
      <c r="E100" s="1335"/>
    </row>
    <row r="101" spans="1:6" ht="108.75" customHeight="1">
      <c r="A101" s="1327" t="s">
        <v>1231</v>
      </c>
      <c r="B101" s="1327" t="s">
        <v>1208</v>
      </c>
      <c r="C101" s="1328" t="s">
        <v>1237</v>
      </c>
      <c r="D101" s="1357"/>
      <c r="E101" s="1335"/>
    </row>
    <row r="102" spans="1:6" ht="54">
      <c r="A102" s="1336" t="s">
        <v>1231</v>
      </c>
      <c r="B102" s="1336" t="s">
        <v>1238</v>
      </c>
      <c r="C102" s="1335" t="s">
        <v>1239</v>
      </c>
      <c r="D102" s="1337"/>
      <c r="E102" s="1335"/>
    </row>
    <row r="103" spans="1:6" ht="84" customHeight="1">
      <c r="A103" s="1336" t="s">
        <v>1240</v>
      </c>
      <c r="B103" s="1336" t="s">
        <v>1077</v>
      </c>
      <c r="C103" s="1358" t="s">
        <v>1241</v>
      </c>
      <c r="D103" s="1337"/>
      <c r="E103" s="1335"/>
    </row>
    <row r="104" spans="1:6" ht="144.75" customHeight="1">
      <c r="A104" s="1336" t="s">
        <v>1240</v>
      </c>
      <c r="B104" s="1336" t="s">
        <v>1077</v>
      </c>
      <c r="C104" s="1358" t="s">
        <v>1242</v>
      </c>
      <c r="D104" s="1337"/>
      <c r="E104" s="1335"/>
    </row>
    <row r="105" spans="1:6" ht="110.25" customHeight="1">
      <c r="A105" s="1335" t="s">
        <v>1240</v>
      </c>
      <c r="B105" s="1336" t="s">
        <v>1243</v>
      </c>
      <c r="C105" s="1359" t="s">
        <v>1244</v>
      </c>
      <c r="D105" s="1360"/>
      <c r="E105" s="1335"/>
      <c r="F105" s="1348"/>
    </row>
    <row r="106" spans="1:6" ht="323.25" customHeight="1">
      <c r="A106" s="1335" t="s">
        <v>1240</v>
      </c>
      <c r="B106" s="1336" t="s">
        <v>1245</v>
      </c>
      <c r="C106" s="1359" t="s">
        <v>1246</v>
      </c>
      <c r="D106" s="1361" t="s">
        <v>1084</v>
      </c>
      <c r="E106" s="1335"/>
    </row>
    <row r="107" spans="1:6" ht="378.9" customHeight="1">
      <c r="A107" s="1335" t="s">
        <v>1240</v>
      </c>
      <c r="B107" s="1336" t="s">
        <v>1247</v>
      </c>
      <c r="C107" s="1362" t="s">
        <v>1352</v>
      </c>
      <c r="D107" s="1361" t="s">
        <v>1084</v>
      </c>
      <c r="E107" s="1363" t="s">
        <v>1248</v>
      </c>
    </row>
    <row r="108" spans="1:6" ht="291" customHeight="1">
      <c r="A108" s="1335" t="s">
        <v>1240</v>
      </c>
      <c r="B108" s="1336" t="s">
        <v>1249</v>
      </c>
      <c r="C108" s="1359" t="s">
        <v>1250</v>
      </c>
      <c r="D108" s="1361" t="s">
        <v>1084</v>
      </c>
      <c r="E108" s="1335"/>
    </row>
    <row r="109" spans="1:6" ht="408" customHeight="1">
      <c r="A109" s="1326" t="s">
        <v>1240</v>
      </c>
      <c r="B109" s="1327" t="s">
        <v>1251</v>
      </c>
      <c r="C109" s="1359" t="s">
        <v>1252</v>
      </c>
      <c r="D109" s="1329"/>
      <c r="E109" s="1335"/>
    </row>
    <row r="110" spans="1:6" ht="22.5" customHeight="1">
      <c r="A110" s="1326"/>
      <c r="B110" s="1327"/>
      <c r="C110" s="1364" t="s">
        <v>1105</v>
      </c>
      <c r="D110" s="1329"/>
      <c r="E110" s="1335"/>
    </row>
    <row r="111" spans="1:6" ht="59.25" customHeight="1">
      <c r="A111" s="1335" t="s">
        <v>1240</v>
      </c>
      <c r="B111" s="1336" t="s">
        <v>1253</v>
      </c>
      <c r="C111" s="1365" t="s">
        <v>1254</v>
      </c>
      <c r="D111" s="1329"/>
      <c r="E111" s="1335"/>
    </row>
    <row r="112" spans="1:6" ht="59.25" customHeight="1">
      <c r="A112" s="1335" t="s">
        <v>1240</v>
      </c>
      <c r="B112" s="1336" t="s">
        <v>1255</v>
      </c>
      <c r="C112" s="1365" t="s">
        <v>1256</v>
      </c>
      <c r="D112" s="1329"/>
      <c r="E112" s="1335"/>
    </row>
    <row r="113" spans="1:5" ht="60.75" customHeight="1">
      <c r="A113" s="1335" t="s">
        <v>1240</v>
      </c>
      <c r="B113" s="1336" t="s">
        <v>1257</v>
      </c>
      <c r="C113" s="1359" t="s">
        <v>1258</v>
      </c>
      <c r="D113" s="1337"/>
      <c r="E113" s="1335"/>
    </row>
    <row r="114" spans="1:5" ht="63.75" customHeight="1">
      <c r="A114" s="1335" t="s">
        <v>1240</v>
      </c>
      <c r="B114" s="1336" t="s">
        <v>1259</v>
      </c>
      <c r="C114" s="1359" t="s">
        <v>1260</v>
      </c>
      <c r="D114" s="1337"/>
      <c r="E114" s="1335"/>
    </row>
    <row r="115" spans="1:5" ht="58.5" customHeight="1">
      <c r="A115" s="1335" t="s">
        <v>1240</v>
      </c>
      <c r="B115" s="1336" t="s">
        <v>1261</v>
      </c>
      <c r="C115" s="1359" t="s">
        <v>1262</v>
      </c>
      <c r="D115" s="1337"/>
      <c r="E115" s="1335"/>
    </row>
    <row r="116" spans="1:5" ht="63" customHeight="1">
      <c r="A116" s="1335" t="s">
        <v>1240</v>
      </c>
      <c r="B116" s="1336" t="s">
        <v>1263</v>
      </c>
      <c r="C116" s="1359" t="s">
        <v>1264</v>
      </c>
      <c r="D116" s="1337"/>
      <c r="E116" s="1335"/>
    </row>
    <row r="117" spans="1:5" ht="61.5" customHeight="1">
      <c r="A117" s="1335" t="s">
        <v>1240</v>
      </c>
      <c r="B117" s="1336" t="s">
        <v>1265</v>
      </c>
      <c r="C117" s="1359" t="s">
        <v>1266</v>
      </c>
      <c r="D117" s="1337"/>
      <c r="E117" s="1335"/>
    </row>
    <row r="118" spans="1:5" ht="59.25" customHeight="1">
      <c r="A118" s="1335" t="s">
        <v>1240</v>
      </c>
      <c r="B118" s="1336" t="s">
        <v>1267</v>
      </c>
      <c r="C118" s="1359" t="s">
        <v>1268</v>
      </c>
      <c r="D118" s="1337"/>
      <c r="E118" s="1335"/>
    </row>
    <row r="119" spans="1:5" ht="63" customHeight="1">
      <c r="A119" s="1335" t="s">
        <v>1240</v>
      </c>
      <c r="B119" s="1336" t="s">
        <v>1269</v>
      </c>
      <c r="C119" s="1359" t="s">
        <v>1270</v>
      </c>
      <c r="D119" s="1337"/>
      <c r="E119" s="1335"/>
    </row>
    <row r="120" spans="1:5" ht="58.5" customHeight="1">
      <c r="A120" s="1335" t="s">
        <v>1240</v>
      </c>
      <c r="B120" s="1336" t="s">
        <v>1271</v>
      </c>
      <c r="C120" s="1359" t="s">
        <v>1272</v>
      </c>
      <c r="D120" s="1337"/>
      <c r="E120" s="1335"/>
    </row>
    <row r="121" spans="1:5" ht="59.25" customHeight="1">
      <c r="A121" s="1335" t="s">
        <v>1240</v>
      </c>
      <c r="B121" s="1336" t="s">
        <v>1273</v>
      </c>
      <c r="C121" s="1359" t="s">
        <v>1274</v>
      </c>
      <c r="D121" s="1337"/>
      <c r="E121" s="1335"/>
    </row>
    <row r="122" spans="1:5" ht="63.75" customHeight="1">
      <c r="A122" s="1335" t="s">
        <v>1240</v>
      </c>
      <c r="B122" s="1336" t="s">
        <v>1275</v>
      </c>
      <c r="C122" s="1359" t="s">
        <v>1276</v>
      </c>
      <c r="D122" s="1337"/>
      <c r="E122" s="1335"/>
    </row>
    <row r="123" spans="1:5" ht="83.25" customHeight="1">
      <c r="A123" s="1335" t="s">
        <v>1240</v>
      </c>
      <c r="B123" s="1336" t="s">
        <v>1277</v>
      </c>
      <c r="C123" s="1359" t="s">
        <v>1278</v>
      </c>
      <c r="D123" s="1337"/>
      <c r="E123" s="1342"/>
    </row>
    <row r="124" spans="1:5" ht="27" customHeight="1">
      <c r="A124" s="1335"/>
      <c r="B124" s="1336"/>
      <c r="C124" s="1366" t="s">
        <v>1279</v>
      </c>
      <c r="D124" s="1337"/>
      <c r="E124" s="1342"/>
    </row>
    <row r="125" spans="1:5" ht="104.25" customHeight="1">
      <c r="A125" s="1335" t="s">
        <v>1240</v>
      </c>
      <c r="B125" s="1336" t="s">
        <v>1280</v>
      </c>
      <c r="C125" s="1359" t="s">
        <v>1281</v>
      </c>
      <c r="D125" s="1337"/>
      <c r="E125" s="1335"/>
    </row>
    <row r="126" spans="1:5" ht="103.5" customHeight="1">
      <c r="A126" s="1335" t="s">
        <v>1240</v>
      </c>
      <c r="B126" s="1336" t="s">
        <v>1282</v>
      </c>
      <c r="C126" s="1359" t="s">
        <v>1283</v>
      </c>
      <c r="D126" s="1337"/>
      <c r="E126" s="1335"/>
    </row>
    <row r="127" spans="1:5" ht="161.25" customHeight="1">
      <c r="A127" s="1335" t="s">
        <v>1240</v>
      </c>
      <c r="B127" s="1336" t="s">
        <v>1284</v>
      </c>
      <c r="C127" s="1335" t="s">
        <v>1285</v>
      </c>
      <c r="D127" s="1337"/>
      <c r="E127" s="1335"/>
    </row>
    <row r="128" spans="1:5" ht="18.75" customHeight="1">
      <c r="A128" s="1335"/>
      <c r="B128" s="1336"/>
      <c r="C128" s="1367" t="s">
        <v>1286</v>
      </c>
      <c r="D128" s="1337"/>
      <c r="E128" s="1335"/>
    </row>
    <row r="129" spans="1:5" ht="66.75" customHeight="1">
      <c r="A129" s="1335" t="s">
        <v>1240</v>
      </c>
      <c r="B129" s="1336" t="s">
        <v>1287</v>
      </c>
      <c r="C129" s="1335" t="s">
        <v>1288</v>
      </c>
      <c r="D129" s="1337"/>
      <c r="E129" s="1335"/>
    </row>
    <row r="130" spans="1:5" ht="61.5" customHeight="1">
      <c r="A130" s="1335" t="s">
        <v>1240</v>
      </c>
      <c r="B130" s="1336" t="s">
        <v>1289</v>
      </c>
      <c r="C130" s="1335" t="s">
        <v>1290</v>
      </c>
      <c r="D130" s="1337"/>
      <c r="E130" s="1335"/>
    </row>
    <row r="131" spans="1:5">
      <c r="A131" s="1335"/>
      <c r="B131" s="1336"/>
      <c r="C131" s="1368" t="s">
        <v>1291</v>
      </c>
      <c r="D131" s="1337"/>
      <c r="E131" s="1335"/>
    </row>
    <row r="132" spans="1:5" ht="151.5" customHeight="1">
      <c r="A132" s="1335" t="s">
        <v>1240</v>
      </c>
      <c r="B132" s="1336" t="s">
        <v>1292</v>
      </c>
      <c r="C132" s="1369" t="s">
        <v>1293</v>
      </c>
      <c r="D132" s="1337"/>
      <c r="E132" s="1335"/>
    </row>
    <row r="133" spans="1:5" ht="130.5" customHeight="1">
      <c r="A133" s="1335" t="s">
        <v>1240</v>
      </c>
      <c r="B133" s="1336" t="s">
        <v>1294</v>
      </c>
      <c r="C133" s="1335" t="s">
        <v>1295</v>
      </c>
      <c r="D133" s="1337"/>
      <c r="E133" s="1335"/>
    </row>
    <row r="134" spans="1:5" ht="151.5" customHeight="1">
      <c r="A134" s="1335" t="s">
        <v>1240</v>
      </c>
      <c r="B134" s="1336" t="s">
        <v>1296</v>
      </c>
      <c r="C134" s="1335" t="s">
        <v>1297</v>
      </c>
      <c r="D134" s="1337"/>
      <c r="E134" s="1335"/>
    </row>
    <row r="135" spans="1:5" ht="86.25" customHeight="1">
      <c r="A135" s="1335" t="s">
        <v>1240</v>
      </c>
      <c r="B135" s="1336" t="s">
        <v>1298</v>
      </c>
      <c r="C135" s="1335" t="s">
        <v>1299</v>
      </c>
      <c r="D135" s="1337"/>
      <c r="E135" s="1335"/>
    </row>
    <row r="136" spans="1:5" ht="47.25" customHeight="1">
      <c r="A136" s="1335" t="s">
        <v>1240</v>
      </c>
      <c r="B136" s="1336" t="s">
        <v>1300</v>
      </c>
      <c r="C136" s="1335" t="s">
        <v>1301</v>
      </c>
      <c r="D136" s="1337"/>
      <c r="E136" s="1335"/>
    </row>
    <row r="137" spans="1:5" ht="275.25" customHeight="1">
      <c r="A137" s="1335" t="s">
        <v>1240</v>
      </c>
      <c r="B137" s="1336" t="s">
        <v>1302</v>
      </c>
      <c r="C137" s="1335" t="s">
        <v>1303</v>
      </c>
      <c r="D137" s="1337"/>
      <c r="E137" s="1335"/>
    </row>
    <row r="138" spans="1:5" ht="117" customHeight="1">
      <c r="A138" s="1335" t="s">
        <v>1240</v>
      </c>
      <c r="B138" s="1336" t="s">
        <v>1304</v>
      </c>
      <c r="C138" s="1359" t="s">
        <v>1305</v>
      </c>
      <c r="D138" s="1361" t="s">
        <v>1084</v>
      </c>
      <c r="E138" s="1335"/>
    </row>
    <row r="139" spans="1:5" ht="189" customHeight="1">
      <c r="A139" s="1335" t="s">
        <v>1240</v>
      </c>
      <c r="B139" s="1336" t="s">
        <v>1306</v>
      </c>
      <c r="C139" s="1335" t="s">
        <v>1307</v>
      </c>
      <c r="D139" s="1361" t="s">
        <v>1084</v>
      </c>
      <c r="E139" s="1342"/>
    </row>
    <row r="140" spans="1:5" ht="62.25" customHeight="1">
      <c r="A140" s="1335" t="s">
        <v>1240</v>
      </c>
      <c r="B140" s="1336" t="s">
        <v>1308</v>
      </c>
      <c r="C140" s="1335" t="s">
        <v>1309</v>
      </c>
      <c r="D140" s="1337"/>
      <c r="E140" s="1335"/>
    </row>
    <row r="141" spans="1:5" ht="54">
      <c r="A141" s="1335" t="s">
        <v>1240</v>
      </c>
      <c r="B141" s="1336" t="s">
        <v>1310</v>
      </c>
      <c r="C141" s="1335" t="s">
        <v>1311</v>
      </c>
      <c r="D141" s="1337"/>
      <c r="E141" s="1335"/>
    </row>
    <row r="142" spans="1:5" ht="81" customHeight="1">
      <c r="A142" s="1335" t="s">
        <v>1240</v>
      </c>
      <c r="B142" s="1336" t="s">
        <v>1312</v>
      </c>
      <c r="C142" s="1335" t="s">
        <v>1313</v>
      </c>
      <c r="D142" s="1338" t="s">
        <v>1084</v>
      </c>
      <c r="E142" s="1335"/>
    </row>
    <row r="143" spans="1:5" ht="136.5" customHeight="1">
      <c r="A143" s="1335" t="s">
        <v>1240</v>
      </c>
      <c r="B143" s="1336" t="s">
        <v>1314</v>
      </c>
      <c r="C143" s="1335" t="s">
        <v>1315</v>
      </c>
      <c r="D143" s="1338" t="s">
        <v>1084</v>
      </c>
      <c r="E143" s="1335"/>
    </row>
    <row r="144" spans="1:5" ht="138" customHeight="1">
      <c r="A144" s="1335" t="s">
        <v>1240</v>
      </c>
      <c r="B144" s="1336" t="s">
        <v>1316</v>
      </c>
      <c r="C144" s="1335" t="s">
        <v>1317</v>
      </c>
      <c r="D144" s="1337"/>
      <c r="E144" s="1335"/>
    </row>
    <row r="145" spans="1:5" ht="144.75" customHeight="1">
      <c r="A145" s="1335" t="s">
        <v>1240</v>
      </c>
      <c r="B145" s="1336" t="s">
        <v>1318</v>
      </c>
      <c r="C145" s="1335" t="s">
        <v>1319</v>
      </c>
      <c r="D145" s="1337"/>
      <c r="E145" s="1335"/>
    </row>
    <row r="146" spans="1:5" ht="122.25" customHeight="1">
      <c r="A146" s="1335" t="s">
        <v>1240</v>
      </c>
      <c r="B146" s="1336" t="s">
        <v>1320</v>
      </c>
      <c r="C146" s="1335" t="s">
        <v>1321</v>
      </c>
      <c r="D146" s="1337"/>
      <c r="E146" s="1335"/>
    </row>
    <row r="147" spans="1:5" ht="66.75" customHeight="1">
      <c r="A147" s="1335" t="s">
        <v>1240</v>
      </c>
      <c r="B147" s="1336" t="s">
        <v>1322</v>
      </c>
      <c r="C147" s="1335" t="s">
        <v>1323</v>
      </c>
      <c r="D147" s="1337"/>
      <c r="E147" s="1335"/>
    </row>
    <row r="148" spans="1:5" ht="176.25" customHeight="1">
      <c r="A148" s="1335" t="s">
        <v>1240</v>
      </c>
      <c r="B148" s="1336" t="s">
        <v>1324</v>
      </c>
      <c r="C148" s="1335" t="s">
        <v>1325</v>
      </c>
      <c r="D148" s="1337"/>
      <c r="E148" s="1335"/>
    </row>
    <row r="149" spans="1:5" ht="85.5" customHeight="1">
      <c r="A149" s="1335" t="s">
        <v>1240</v>
      </c>
      <c r="B149" s="1336" t="s">
        <v>1326</v>
      </c>
      <c r="C149" s="1335" t="s">
        <v>1327</v>
      </c>
      <c r="D149" s="1337"/>
      <c r="E149" s="1335"/>
    </row>
    <row r="150" spans="1:5">
      <c r="A150" s="1335"/>
      <c r="B150" s="1336"/>
      <c r="C150" s="1370" t="s">
        <v>1210</v>
      </c>
      <c r="D150" s="1337"/>
      <c r="E150" s="1335"/>
    </row>
    <row r="151" spans="1:5" ht="100.5" customHeight="1">
      <c r="A151" s="1335" t="s">
        <v>1240</v>
      </c>
      <c r="B151" s="1336" t="s">
        <v>1328</v>
      </c>
      <c r="C151" s="1335" t="s">
        <v>1329</v>
      </c>
      <c r="D151" s="1337"/>
      <c r="E151" s="1335"/>
    </row>
    <row r="152" spans="1:5" ht="170.25" customHeight="1">
      <c r="A152" s="1335" t="s">
        <v>1240</v>
      </c>
      <c r="B152" s="1336" t="s">
        <v>1330</v>
      </c>
      <c r="C152" s="1335" t="s">
        <v>1331</v>
      </c>
      <c r="D152" s="1337"/>
      <c r="E152" s="1335"/>
    </row>
    <row r="153" spans="1:5" ht="163.5" customHeight="1">
      <c r="A153" s="1335" t="s">
        <v>1332</v>
      </c>
      <c r="B153" s="1336" t="s">
        <v>1077</v>
      </c>
      <c r="C153" s="1335" t="s">
        <v>1333</v>
      </c>
      <c r="D153" s="1337"/>
      <c r="E153" s="1335"/>
    </row>
    <row r="154" spans="1:5" ht="103.5" customHeight="1">
      <c r="A154" s="1335" t="s">
        <v>1334</v>
      </c>
      <c r="B154" s="1336" t="s">
        <v>1077</v>
      </c>
      <c r="C154" s="1335" t="s">
        <v>1335</v>
      </c>
      <c r="D154" s="1335"/>
      <c r="E154" s="1335"/>
    </row>
    <row r="155" spans="1:5" ht="42.75" customHeight="1">
      <c r="A155" s="1335" t="s">
        <v>1334</v>
      </c>
      <c r="B155" s="1336" t="s">
        <v>1336</v>
      </c>
      <c r="C155" s="1335" t="s">
        <v>1337</v>
      </c>
      <c r="D155" s="1337"/>
      <c r="E155" s="1335"/>
    </row>
    <row r="156" spans="1:5" ht="245.25" customHeight="1">
      <c r="A156" s="1335" t="s">
        <v>1334</v>
      </c>
      <c r="B156" s="1336" t="s">
        <v>1338</v>
      </c>
      <c r="C156" s="1335" t="s">
        <v>1339</v>
      </c>
      <c r="D156" s="1337"/>
      <c r="E156" s="1335"/>
    </row>
  </sheetData>
  <sheetProtection sheet="1" formatCells="0" formatColumns="0" formatRows="0" autoFilter="0"/>
  <autoFilter ref="D1:E156"/>
  <mergeCells count="8">
    <mergeCell ref="E11:E12"/>
    <mergeCell ref="E16:E17"/>
    <mergeCell ref="A11:A12"/>
    <mergeCell ref="B11:B12"/>
    <mergeCell ref="D11:D12"/>
    <mergeCell ref="A16:A17"/>
    <mergeCell ref="B16:B17"/>
    <mergeCell ref="D16:D17"/>
  </mergeCells>
  <hyperlinks>
    <hyperlink ref="C12" r:id="rId1" display="mailto:SFPaymentTeam@azed.gov"/>
    <hyperlink ref="C17" r:id="rId2"/>
    <hyperlink ref="C62" r:id="rId3"/>
    <hyperlink ref="C131" r:id="rId4" display="http://www.ade.az.gov/sder/publicreports.asp"/>
    <hyperlink ref="C128" r:id="rId5" display="mailto:SFAnalystTeam@azed.gov"/>
    <hyperlink ref="C29" r:id="rId6"/>
    <hyperlink ref="C64" r:id="rId7"/>
    <hyperlink ref="C110" r:id="rId8"/>
    <hyperlink ref="C3" location="DataEntryGeneral" display="Data Entry instructions"/>
    <hyperlink ref="C78" r:id="rId9"/>
    <hyperlink ref="C59" r:id="rId10" display="mailto:SFBudgetTeam@azed.gov"/>
    <hyperlink ref="C73" r:id="rId11" display="mailto:SFPaymentTeam@azed.gov"/>
    <hyperlink ref="C81" r:id="rId12" display="mailto:SFBudgetTeam@azed.gov"/>
    <hyperlink ref="C83" r:id="rId13" display="mailto:SFBudgetTeam@azed.gov"/>
    <hyperlink ref="C87" r:id="rId14" display="mailto:SFBudgetTeam@azed.gov"/>
    <hyperlink ref="C89" r:id="rId15" display="mailto:SFBudgetTeam@azed.gov"/>
    <hyperlink ref="C150" r:id="rId16" display="mailto:SFBudgetTeam@azed.gov"/>
    <hyperlink ref="C52" r:id="rId17"/>
    <hyperlink ref="C124" r:id="rId18"/>
    <hyperlink ref="C77" r:id="rId19"/>
  </hyperlinks>
  <pageMargins left="1" right="1" top="1" bottom="1" header="0.5" footer="0.5"/>
  <pageSetup scale="52" fitToHeight="0" orientation="portrait" r:id="rId20"/>
  <headerFooter>
    <oddFooter>&amp;L&amp;"Times New Roman,Bold"Rev. 5/23 Arizona Department of Education and Auditor General&amp;R&amp;"Times New Roman,Bold"Page &amp;P of &amp;N</oddFooter>
  </headerFooter>
  <rowBreaks count="1" manualBreakCount="1">
    <brk id="102" max="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lcf76f155ced4ddcb4097134ff3c332f xmlns="30e8ffde-18ad-4221-a68d-976eb256fe4f">
      <Terms xmlns="http://schemas.microsoft.com/office/infopath/2007/PartnerControls"/>
    </lcf76f155ced4ddcb4097134ff3c332f>
    <TaxCatchAll xmlns="ffcdc2e4-c8f2-4bf7-ab1d-ea300bde3fd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40A7E3807644E4DA70E0D6B717B683A" ma:contentTypeVersion="10" ma:contentTypeDescription="Create a new document." ma:contentTypeScope="" ma:versionID="0071ca5f4b6ee98f77bc82b2910829c3">
  <xsd:schema xmlns:xsd="http://www.w3.org/2001/XMLSchema" xmlns:xs="http://www.w3.org/2001/XMLSchema" xmlns:p="http://schemas.microsoft.com/office/2006/metadata/properties" xmlns:ns2="30e8ffde-18ad-4221-a68d-976eb256fe4f" xmlns:ns3="ffcdc2e4-c8f2-4bf7-ab1d-ea300bde3fd8" targetNamespace="http://schemas.microsoft.com/office/2006/metadata/properties" ma:root="true" ma:fieldsID="c062b0eec728b62cb4e942213e7d5b77" ns2:_="" ns3:_="">
    <xsd:import namespace="30e8ffde-18ad-4221-a68d-976eb256fe4f"/>
    <xsd:import namespace="ffcdc2e4-c8f2-4bf7-ab1d-ea300bde3fd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e8ffde-18ad-4221-a68d-976eb256fe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74c78d70-57a5-4cd0-992a-8b96d5ad907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fcdc2e4-c8f2-4bf7-ab1d-ea300bde3fd8"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ed5af9a2-5c05-48d1-8193-28164417b14f}" ma:internalName="TaxCatchAll" ma:showField="CatchAllData" ma:web="ffcdc2e4-c8f2-4bf7-ab1d-ea300bde3f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BB4F38B-0799-4886-B61C-8DBB46B47F73}">
  <ds:schemaRefs>
    <ds:schemaRef ds:uri="http://www.w3.org/XML/1998/namespace"/>
    <ds:schemaRef ds:uri="http://schemas.microsoft.com/office/2006/metadata/properties"/>
    <ds:schemaRef ds:uri="http://purl.org/dc/terms/"/>
    <ds:schemaRef ds:uri="http://purl.org/dc/elements/1.1/"/>
    <ds:schemaRef ds:uri="http://schemas.microsoft.com/office/2006/documentManagement/types"/>
    <ds:schemaRef ds:uri="http://schemas.microsoft.com/office/infopath/2007/PartnerControls"/>
    <ds:schemaRef ds:uri="ffcdc2e4-c8f2-4bf7-ab1d-ea300bde3fd8"/>
    <ds:schemaRef ds:uri="http://schemas.openxmlformats.org/package/2006/metadata/core-properties"/>
    <ds:schemaRef ds:uri="30e8ffde-18ad-4221-a68d-976eb256fe4f"/>
    <ds:schemaRef ds:uri="http://purl.org/dc/dcmitype/"/>
  </ds:schemaRefs>
</ds:datastoreItem>
</file>

<file path=customXml/itemProps2.xml><?xml version="1.0" encoding="utf-8"?>
<ds:datastoreItem xmlns:ds="http://schemas.openxmlformats.org/officeDocument/2006/customXml" ds:itemID="{9A35DFC1-F1A2-47B8-9050-73DF39795C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e8ffde-18ad-4221-a68d-976eb256fe4f"/>
    <ds:schemaRef ds:uri="ffcdc2e4-c8f2-4bf7-ab1d-ea300bde3fd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847F8EF-8AAF-48C9-9DFE-A66AC49D528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18</vt:i4>
      </vt:variant>
      <vt:variant>
        <vt:lpstr>Named Ranges</vt:lpstr>
      </vt:variant>
      <vt:variant>
        <vt:i4>1009</vt:i4>
      </vt:variant>
    </vt:vector>
  </HeadingPairs>
  <TitlesOfParts>
    <vt:vector size="1027" baseType="lpstr">
      <vt:lpstr>Cover</vt:lpstr>
      <vt:lpstr>District Contacts</vt:lpstr>
      <vt:lpstr>Page 1</vt:lpstr>
      <vt:lpstr>Page 2</vt:lpstr>
      <vt:lpstr>Page 3</vt:lpstr>
      <vt:lpstr>Page 4</vt:lpstr>
      <vt:lpstr>Page 5</vt:lpstr>
      <vt:lpstr>Page 6</vt:lpstr>
      <vt:lpstr>Page 7</vt:lpstr>
      <vt:lpstr>Page 8</vt:lpstr>
      <vt:lpstr>Supplement</vt:lpstr>
      <vt:lpstr>Summary Page 1</vt:lpstr>
      <vt:lpstr>Summary Page 2</vt:lpstr>
      <vt:lpstr>Truth in Tax</vt:lpstr>
      <vt:lpstr>Data Entry</vt:lpstr>
      <vt:lpstr>Calculations</vt:lpstr>
      <vt:lpstr>BSA55</vt:lpstr>
      <vt:lpstr>Instructions</vt:lpstr>
      <vt:lpstr>_PAV2</vt:lpstr>
      <vt:lpstr>_QL912</vt:lpstr>
      <vt:lpstr>AccommRCL05</vt:lpstr>
      <vt:lpstr>AccommRCL10</vt:lpstr>
      <vt:lpstr>AccommTransCheck</vt:lpstr>
      <vt:lpstr>ActAuditExpend</vt:lpstr>
      <vt:lpstr>ActDisabilityRM</vt:lpstr>
      <vt:lpstr>ActivTripLvlFactor</vt:lpstr>
      <vt:lpstr>AdjacentWays</vt:lpstr>
      <vt:lpstr>AdjBaseSuppLvl</vt:lpstr>
      <vt:lpstr>AdjFYTRCL</vt:lpstr>
      <vt:lpstr>AdjTNTBaseLimit</vt:lpstr>
      <vt:lpstr>AdjWaysLevy</vt:lpstr>
      <vt:lpstr>AllFundAuditBudg6330</vt:lpstr>
      <vt:lpstr>AmtOUBudgSSA</vt:lpstr>
      <vt:lpstr>AnnualExpforBusPass</vt:lpstr>
      <vt:lpstr>AnnualExpforBusToken</vt:lpstr>
      <vt:lpstr>AOIFTFundFactor</vt:lpstr>
      <vt:lpstr>AOIFTGrBAddOnWgtdADM</vt:lpstr>
      <vt:lpstr>AOIFTRegEdWgtdADM</vt:lpstr>
      <vt:lpstr>AOIFTStudCnt912CY</vt:lpstr>
      <vt:lpstr>AOIFTStudCntDD.ED.MIID.SLD.SLI.OHI</vt:lpstr>
      <vt:lpstr>AOIFTStudCntEDP</vt:lpstr>
      <vt:lpstr>AOIFTStudCntELL</vt:lpstr>
      <vt:lpstr>AOIFTStudCntFRPL</vt:lpstr>
      <vt:lpstr>AOIFTStudCntG</vt:lpstr>
      <vt:lpstr>AOIFTStudCntHI</vt:lpstr>
      <vt:lpstr>AOIFTStudCntK3</vt:lpstr>
      <vt:lpstr>AOIFTStudCntK3R</vt:lpstr>
      <vt:lpstr>AOIFTStudCntK8CY</vt:lpstr>
      <vt:lpstr>AOIFTStudCntMDR.AR.SIDR</vt:lpstr>
      <vt:lpstr>AOIFTStudCntMDSC.ASC.SIDSC</vt:lpstr>
      <vt:lpstr>AOIFTStudCntMDSSI</vt:lpstr>
      <vt:lpstr>AOIFTStudCntMOID</vt:lpstr>
      <vt:lpstr>AOIFTStudCntOIR</vt:lpstr>
      <vt:lpstr>AOIFTStudCntOISC</vt:lpstr>
      <vt:lpstr>AOIFTStudCntP.SD</vt:lpstr>
      <vt:lpstr>AOIFTStudCntPSDCY</vt:lpstr>
      <vt:lpstr>AOIFTStudCntVI</vt:lpstr>
      <vt:lpstr>AOIPTFundFactor</vt:lpstr>
      <vt:lpstr>AOIPTGrBAddOnWgtdADM</vt:lpstr>
      <vt:lpstr>AOIPTRegEdWgtdADM</vt:lpstr>
      <vt:lpstr>AOIPTStudCnt912CY</vt:lpstr>
      <vt:lpstr>AOIPTStudCntDD.ED.MIID.SLD.SLI.OHI</vt:lpstr>
      <vt:lpstr>AOIPTStudCntEDP</vt:lpstr>
      <vt:lpstr>AOIPTStudCntELL</vt:lpstr>
      <vt:lpstr>AOIPTStudCntFRPL</vt:lpstr>
      <vt:lpstr>AOIPTStudCntG</vt:lpstr>
      <vt:lpstr>AOIPTStudCntHI</vt:lpstr>
      <vt:lpstr>AOIPTStudCntK3</vt:lpstr>
      <vt:lpstr>AOIPTStudCntK3R</vt:lpstr>
      <vt:lpstr>AOIPTStudCntK8CY</vt:lpstr>
      <vt:lpstr>AOIPTStudCntMDR.AR.SIDR</vt:lpstr>
      <vt:lpstr>AOIPTStudCntMDSC.ASC.SIDSC</vt:lpstr>
      <vt:lpstr>AOIPTStudCntMDSSI</vt:lpstr>
      <vt:lpstr>AOIPTStudCntMOID</vt:lpstr>
      <vt:lpstr>AOIPTStudCntOIR</vt:lpstr>
      <vt:lpstr>AOIPTStudCntOISC</vt:lpstr>
      <vt:lpstr>AOIPTStudCntP.SD</vt:lpstr>
      <vt:lpstr>AOIPTStudCntPSDCY</vt:lpstr>
      <vt:lpstr>AOIPTStudCntVI</vt:lpstr>
      <vt:lpstr>ApprDRMiles</vt:lpstr>
      <vt:lpstr>AuditServices</vt:lpstr>
      <vt:lpstr>AvgTeacherSalaries</vt:lpstr>
      <vt:lpstr>BaseLevelAmount</vt:lpstr>
      <vt:lpstr>BSA55BLA</vt:lpstr>
      <vt:lpstr>BSA55General</vt:lpstr>
      <vt:lpstr>BSA55P4ActivityTripFactors</vt:lpstr>
      <vt:lpstr>BSA55P4AuditServiceExpense</vt:lpstr>
      <vt:lpstr>BSA55TEI</vt:lpstr>
      <vt:lpstr>BUDG75Adj</vt:lpstr>
      <vt:lpstr>BudgetYearADM</vt:lpstr>
      <vt:lpstr>BudgetYearSalary</vt:lpstr>
      <vt:lpstr>BudgetYearSalarySumm</vt:lpstr>
      <vt:lpstr>BudgIncrDesegExp</vt:lpstr>
      <vt:lpstr>BudgIncrDropPrevProg</vt:lpstr>
      <vt:lpstr>BudgIncrJCTEVEC</vt:lpstr>
      <vt:lpstr>BusTokens</vt:lpstr>
      <vt:lpstr>CalcGeneral</vt:lpstr>
      <vt:lpstr>CapTransportAdj912</vt:lpstr>
      <vt:lpstr>CapTransportAdjK8</vt:lpstr>
      <vt:lpstr>CapTransportAdjPSD</vt:lpstr>
      <vt:lpstr>Checkbox200Days</vt:lpstr>
      <vt:lpstr>ConsolUnifTransCosts</vt:lpstr>
      <vt:lpstr>ContractFTEAdmin</vt:lpstr>
      <vt:lpstr>ContractFTECertOther</vt:lpstr>
      <vt:lpstr>ContractFTECertSubtotal</vt:lpstr>
      <vt:lpstr>ContractFTEClassOther</vt:lpstr>
      <vt:lpstr>ContractFTEClassSubtotal</vt:lpstr>
      <vt:lpstr>ContractFTEManagers</vt:lpstr>
      <vt:lpstr>ContractFTESpecEdStaff</vt:lpstr>
      <vt:lpstr>ContractFTESpecEdTeacher</vt:lpstr>
      <vt:lpstr>ContractFTETeachers</vt:lpstr>
      <vt:lpstr>ContractFTETeachersAids</vt:lpstr>
      <vt:lpstr>ContractFTETotal</vt:lpstr>
      <vt:lpstr>Cover!cover</vt:lpstr>
      <vt:lpstr>CoverGen</vt:lpstr>
      <vt:lpstr>'Page 3'!CSFActualCurrFY</vt:lpstr>
      <vt:lpstr>CSFAdjustment</vt:lpstr>
      <vt:lpstr>'Page 3'!CSFAllocBudgFY</vt:lpstr>
      <vt:lpstr>'Page 3'!CSFBLBudgFY</vt:lpstr>
      <vt:lpstr>CSFBLBudgFYSumm</vt:lpstr>
      <vt:lpstr>'Page 3'!CSFBLCurrFY</vt:lpstr>
      <vt:lpstr>CSFExpBudgFYSumm</vt:lpstr>
      <vt:lpstr>CSFPYInterestEarned</vt:lpstr>
      <vt:lpstr>CSFUnexpendBudgBal</vt:lpstr>
      <vt:lpstr>CTD</vt:lpstr>
      <vt:lpstr>CYIAMOTax</vt:lpstr>
      <vt:lpstr>CYIAMOTRCL</vt:lpstr>
      <vt:lpstr>CYIARev</vt:lpstr>
      <vt:lpstr>CYIARevBondDS</vt:lpstr>
      <vt:lpstr>CYTRCL</vt:lpstr>
      <vt:lpstr>DailyRteMilesPerElgStud</vt:lpstr>
      <vt:lpstr>DataEntryGeneral</vt:lpstr>
      <vt:lpstr>DataEntryOtherBSLBRCLAdjl1</vt:lpstr>
      <vt:lpstr>DataEntryOtherBSLBRCLAdjl3</vt:lpstr>
      <vt:lpstr>DataEntryOtherBSLBRCLAdjl4</vt:lpstr>
      <vt:lpstr>DataEntryOtherBSLBRCLAdjl5</vt:lpstr>
      <vt:lpstr>DataEntryOtherBSLBRCLAdjl6</vt:lpstr>
      <vt:lpstr>DataEntryOtherBSLBRCLAdjl7</vt:lpstr>
      <vt:lpstr>DataEntryOtherInfo10f</vt:lpstr>
      <vt:lpstr>DataEntryOtherInfol1</vt:lpstr>
      <vt:lpstr>DataEntryOtherInfol12</vt:lpstr>
      <vt:lpstr>DataEntryOtherInfol14</vt:lpstr>
      <vt:lpstr>DataEntryOtherInfol15</vt:lpstr>
      <vt:lpstr>DataEntryOtherInfol17</vt:lpstr>
      <vt:lpstr>DataEntryOtherInfol18</vt:lpstr>
      <vt:lpstr>DataEntryOtherInfol1Continued</vt:lpstr>
      <vt:lpstr>DataEntryOtherInfol2</vt:lpstr>
      <vt:lpstr>DataEntryOtherInfol3</vt:lpstr>
      <vt:lpstr>DataEntryOtherInfol5</vt:lpstr>
      <vt:lpstr>DataEntryOtherInfol8</vt:lpstr>
      <vt:lpstr>DataEntryOtherInfol9</vt:lpstr>
      <vt:lpstr>DataEntryTransl1</vt:lpstr>
      <vt:lpstr>DataEntryTransl3</vt:lpstr>
      <vt:lpstr>DataEntryTransl5</vt:lpstr>
      <vt:lpstr>DataEntryType01Infol1</vt:lpstr>
      <vt:lpstr>DataEntryType01Infol2</vt:lpstr>
      <vt:lpstr>DataEntryUSCl1</vt:lpstr>
      <vt:lpstr>DataEntryUSCl2</vt:lpstr>
      <vt:lpstr>DataEntryUSCl345</vt:lpstr>
      <vt:lpstr>DataEntryUSCSCAl10</vt:lpstr>
      <vt:lpstr>DataEntryUSCSCAl11</vt:lpstr>
      <vt:lpstr>DataEntryUSCSCAl12</vt:lpstr>
      <vt:lpstr>DataEntryUSCSCAl13</vt:lpstr>
      <vt:lpstr>DataEntryUSCSCAl14</vt:lpstr>
      <vt:lpstr>DataEntryUSCSCAl15</vt:lpstr>
      <vt:lpstr>DataEntryUSCSCAl16</vt:lpstr>
      <vt:lpstr>DataEntryUSCSCAl17</vt:lpstr>
      <vt:lpstr>DataEntryUSCSCAl18</vt:lpstr>
      <vt:lpstr>DataEntryUSCSCAl19</vt:lpstr>
      <vt:lpstr>DataEntryUSCSCAl20</vt:lpstr>
      <vt:lpstr>DataEntryUSCSCAl21</vt:lpstr>
      <vt:lpstr>DataEntryUSCSCAl23</vt:lpstr>
      <vt:lpstr>DataEntryUSCSCAl7</vt:lpstr>
      <vt:lpstr>DataEntryUSCSCAl720</vt:lpstr>
      <vt:lpstr>DataEntryUSCSCAl9</vt:lpstr>
      <vt:lpstr>DDPJCTEOriginalBudget</vt:lpstr>
      <vt:lpstr>DecrTransMOtoEWS</vt:lpstr>
      <vt:lpstr>DistrictContact</vt:lpstr>
      <vt:lpstr>DistrictName</vt:lpstr>
      <vt:lpstr>DSL</vt:lpstr>
      <vt:lpstr>DSLRCL912</vt:lpstr>
      <vt:lpstr>DSLRCLPSD8</vt:lpstr>
      <vt:lpstr>DSLRCLTotal</vt:lpstr>
      <vt:lpstr>EligibleStudTrans</vt:lpstr>
      <vt:lpstr>EmployeeFTEAdmin</vt:lpstr>
      <vt:lpstr>EmployeeFTECertOther</vt:lpstr>
      <vt:lpstr>EmployeeFTECertSubtotal</vt:lpstr>
      <vt:lpstr>EmployeeFTEClassOther</vt:lpstr>
      <vt:lpstr>EmployeeFTEClassSubtotal</vt:lpstr>
      <vt:lpstr>EmployeeFTEManagers</vt:lpstr>
      <vt:lpstr>EmployeeFTESpecEdStaff</vt:lpstr>
      <vt:lpstr>EmployeeFTESpecEdTeacher</vt:lpstr>
      <vt:lpstr>EmployeeFTETeachers</vt:lpstr>
      <vt:lpstr>EmployeeFTETeachersAides</vt:lpstr>
      <vt:lpstr>EmployeeFTETotal</vt:lpstr>
      <vt:lpstr>EqualAssist912</vt:lpstr>
      <vt:lpstr>EqualAssistPSD8</vt:lpstr>
      <vt:lpstr>EqualBase912</vt:lpstr>
      <vt:lpstr>EqualBasePSD8</vt:lpstr>
      <vt:lpstr>EstDisabilityRM</vt:lpstr>
      <vt:lpstr>EstimatedFTECertified</vt:lpstr>
      <vt:lpstr>EstTaxRateBudgFY</vt:lpstr>
      <vt:lpstr>EstTaxRateBudgFYSumm</vt:lpstr>
      <vt:lpstr>ExcessTNTLimit</vt:lpstr>
      <vt:lpstr>ExpOUOrigBudg</vt:lpstr>
      <vt:lpstr>F001AuditBudg6350</vt:lpstr>
      <vt:lpstr>F001P100F1000</vt:lpstr>
      <vt:lpstr>F001P100F1000O6100</vt:lpstr>
      <vt:lpstr>F001P100F1000O6200</vt:lpstr>
      <vt:lpstr>F001P100F1000O630064006500</vt:lpstr>
      <vt:lpstr>F001P100F1000O6600</vt:lpstr>
      <vt:lpstr>F001P100F1000O6800</vt:lpstr>
      <vt:lpstr>F001P100F1000OthBudgFY</vt:lpstr>
      <vt:lpstr>F001P100F1000Personnel</vt:lpstr>
      <vt:lpstr>F001P100F1000SBBudgFY</vt:lpstr>
      <vt:lpstr>F001P100F1000TotBudgFY</vt:lpstr>
      <vt:lpstr>F001P100F2100</vt:lpstr>
      <vt:lpstr>F001P100F2100O6100</vt:lpstr>
      <vt:lpstr>F001P100F2100O6200</vt:lpstr>
      <vt:lpstr>F001P100F2100O630064006500</vt:lpstr>
      <vt:lpstr>F001P100F2100O6600</vt:lpstr>
      <vt:lpstr>F001P100F2100O6800</vt:lpstr>
      <vt:lpstr>F001P100F2100OthBudgFY</vt:lpstr>
      <vt:lpstr>F001P100F2100Personnel</vt:lpstr>
      <vt:lpstr>F001P100F2100SBBudgFY</vt:lpstr>
      <vt:lpstr>F001P100F2100TotBudgFY</vt:lpstr>
      <vt:lpstr>F001P100F2200</vt:lpstr>
      <vt:lpstr>F001P100F2200O6100</vt:lpstr>
      <vt:lpstr>F001P100F2200O6200</vt:lpstr>
      <vt:lpstr>F001P100F2200O630064006500</vt:lpstr>
      <vt:lpstr>F001P100F2200O6600</vt:lpstr>
      <vt:lpstr>F001P100F2200O6800</vt:lpstr>
      <vt:lpstr>F001P100F2200OthBudgFY</vt:lpstr>
      <vt:lpstr>F001P100F2200Personnel</vt:lpstr>
      <vt:lpstr>F001P100F2200SBBudgFY</vt:lpstr>
      <vt:lpstr>F001P100F2200TotBudgFY</vt:lpstr>
      <vt:lpstr>F001P100F2300</vt:lpstr>
      <vt:lpstr>F001P100F230024002500OthBudgFY</vt:lpstr>
      <vt:lpstr>F001P100F230024002500SBBudgFY</vt:lpstr>
      <vt:lpstr>F001P100F230024002500TotBudgFY</vt:lpstr>
      <vt:lpstr>F001P100F2300O6100</vt:lpstr>
      <vt:lpstr>F001P100F2300O6200</vt:lpstr>
      <vt:lpstr>F001P100F2300O630064006500</vt:lpstr>
      <vt:lpstr>F001P100F2300O6600</vt:lpstr>
      <vt:lpstr>F001P100F2300O6800</vt:lpstr>
      <vt:lpstr>F001P100F2300Personnel</vt:lpstr>
      <vt:lpstr>F001P100F2400</vt:lpstr>
      <vt:lpstr>F001P100F2400O6100</vt:lpstr>
      <vt:lpstr>F001P100F2400O6200</vt:lpstr>
      <vt:lpstr>F001P100F2400O630064006500</vt:lpstr>
      <vt:lpstr>F001P100F2400O6600</vt:lpstr>
      <vt:lpstr>F001P100F2400O6800</vt:lpstr>
      <vt:lpstr>F001P100F2400Personnel</vt:lpstr>
      <vt:lpstr>F001P100F2500</vt:lpstr>
      <vt:lpstr>F001P100F2500O6100</vt:lpstr>
      <vt:lpstr>F001P100F2500O6200</vt:lpstr>
      <vt:lpstr>F001P100F2500O630064006500</vt:lpstr>
      <vt:lpstr>F001P100F2500O6600</vt:lpstr>
      <vt:lpstr>F001P100F2500O6800</vt:lpstr>
      <vt:lpstr>F001P100F2500Personnel</vt:lpstr>
      <vt:lpstr>F001P100F2600</vt:lpstr>
      <vt:lpstr>F001P100F2600O6100</vt:lpstr>
      <vt:lpstr>F001P100F2600O6200</vt:lpstr>
      <vt:lpstr>F001P100F2600O630064006500</vt:lpstr>
      <vt:lpstr>F001P100F2600O6600</vt:lpstr>
      <vt:lpstr>F001P100F2600O6800</vt:lpstr>
      <vt:lpstr>F001P100F2600OthBudgFY</vt:lpstr>
      <vt:lpstr>F001P100F2600Personnel</vt:lpstr>
      <vt:lpstr>F001P100F2600SBBudgFY</vt:lpstr>
      <vt:lpstr>F001P100F2600TotBudgFY</vt:lpstr>
      <vt:lpstr>F001P100F2900</vt:lpstr>
      <vt:lpstr>F001P100F2900O6100</vt:lpstr>
      <vt:lpstr>F001P100F2900O6200</vt:lpstr>
      <vt:lpstr>F001P100F2900O630064006500</vt:lpstr>
      <vt:lpstr>F001P100F2900O6600</vt:lpstr>
      <vt:lpstr>F001P100F2900O6800</vt:lpstr>
      <vt:lpstr>F001P100F2900OthBudgFY</vt:lpstr>
      <vt:lpstr>F001P100F2900Personnel</vt:lpstr>
      <vt:lpstr>F001P100F2900SBBudgFY</vt:lpstr>
      <vt:lpstr>F001P100F2900TotBudgFY</vt:lpstr>
      <vt:lpstr>F001P100F3000</vt:lpstr>
      <vt:lpstr>F001P100F3000O6100</vt:lpstr>
      <vt:lpstr>F001P100F3000O6200</vt:lpstr>
      <vt:lpstr>F001P100F3000O630064006500</vt:lpstr>
      <vt:lpstr>F001P100F3000O6600</vt:lpstr>
      <vt:lpstr>F001P100F3000O6800</vt:lpstr>
      <vt:lpstr>F001P100F3000OthBudgFY</vt:lpstr>
      <vt:lpstr>F001P100F3000Personnel</vt:lpstr>
      <vt:lpstr>F001P100F3000SBBudgFY</vt:lpstr>
      <vt:lpstr>F001P100F3000TotBudgFY</vt:lpstr>
      <vt:lpstr>F001P200F1000</vt:lpstr>
      <vt:lpstr>F001P200F1000O6100</vt:lpstr>
      <vt:lpstr>F001P200F1000O6200</vt:lpstr>
      <vt:lpstr>F001P200F1000O630064006500</vt:lpstr>
      <vt:lpstr>F001P200F1000O6600</vt:lpstr>
      <vt:lpstr>F001P200F1000O6800</vt:lpstr>
      <vt:lpstr>F001P200F1000OthBudgFY</vt:lpstr>
      <vt:lpstr>F001P200F1000Personnel</vt:lpstr>
      <vt:lpstr>F001P200F1000SBBudgFY</vt:lpstr>
      <vt:lpstr>F001P200F1000TotBudgFY</vt:lpstr>
      <vt:lpstr>F001P200F2100</vt:lpstr>
      <vt:lpstr>F001P200F2100O6100</vt:lpstr>
      <vt:lpstr>F001P200F2100O6200</vt:lpstr>
      <vt:lpstr>F001P200F2100O630064006500</vt:lpstr>
      <vt:lpstr>F001P200F2100O6600</vt:lpstr>
      <vt:lpstr>F001P200F2100O6800</vt:lpstr>
      <vt:lpstr>F001P200F2100OthBudgFY</vt:lpstr>
      <vt:lpstr>F001P200F2100Personnel</vt:lpstr>
      <vt:lpstr>F001P200F2100SBBudgFY</vt:lpstr>
      <vt:lpstr>F001P200F2200</vt:lpstr>
      <vt:lpstr>F001P200F2200O6100</vt:lpstr>
      <vt:lpstr>F001P200F2200O6200</vt:lpstr>
      <vt:lpstr>F001P200F2200O630064006500</vt:lpstr>
      <vt:lpstr>F001P200F2200O6600</vt:lpstr>
      <vt:lpstr>F001P200F2200O6800</vt:lpstr>
      <vt:lpstr>F001P200F2200OthBudgFY</vt:lpstr>
      <vt:lpstr>F001P200F2200Personnel</vt:lpstr>
      <vt:lpstr>F001P200F2200SBBudgFY</vt:lpstr>
      <vt:lpstr>F001P200F2200TotBudgFy</vt:lpstr>
      <vt:lpstr>F001P200F2300</vt:lpstr>
      <vt:lpstr>F001P200F230024002500OthBudgFY</vt:lpstr>
      <vt:lpstr>F001P200F230024002500SBBudgFY</vt:lpstr>
      <vt:lpstr>F001P200F230024002500TotBudgFY</vt:lpstr>
      <vt:lpstr>F001P200F2300O6100</vt:lpstr>
      <vt:lpstr>F001P200F2300O6200</vt:lpstr>
      <vt:lpstr>F001P200F2300O630064006500</vt:lpstr>
      <vt:lpstr>F001P200F2300O6600</vt:lpstr>
      <vt:lpstr>F001P200F2300O6800</vt:lpstr>
      <vt:lpstr>F001P200F2300Personnel</vt:lpstr>
      <vt:lpstr>F001P200F2400</vt:lpstr>
      <vt:lpstr>F001P200F2400O6100</vt:lpstr>
      <vt:lpstr>F001P200F2400O6200</vt:lpstr>
      <vt:lpstr>F001P200F2400O630064006500</vt:lpstr>
      <vt:lpstr>F001P200F2400O6600</vt:lpstr>
      <vt:lpstr>F001P200F2400O6800</vt:lpstr>
      <vt:lpstr>F001P200F2400Personnel</vt:lpstr>
      <vt:lpstr>F001P200F2500</vt:lpstr>
      <vt:lpstr>F001P200F2500O6100</vt:lpstr>
      <vt:lpstr>F001P200F2500O6200</vt:lpstr>
      <vt:lpstr>F001P200F2500O630064006500</vt:lpstr>
      <vt:lpstr>F001P200F2500O6600</vt:lpstr>
      <vt:lpstr>F001P200F2500O6800</vt:lpstr>
      <vt:lpstr>F001P200F2500Personnel</vt:lpstr>
      <vt:lpstr>F001P200F2600</vt:lpstr>
      <vt:lpstr>F001P200F2600O6100</vt:lpstr>
      <vt:lpstr>F001P200F2600O6200</vt:lpstr>
      <vt:lpstr>F001P200F2600O630064006500</vt:lpstr>
      <vt:lpstr>F001P200F2600O6600</vt:lpstr>
      <vt:lpstr>F001P200F2600O6800</vt:lpstr>
      <vt:lpstr>F001P200F2600OthBudgFY</vt:lpstr>
      <vt:lpstr>F001P200F2600Personnel</vt:lpstr>
      <vt:lpstr>F001P200F2600SBBudgFY</vt:lpstr>
      <vt:lpstr>F001P200F2600TotBudgFY</vt:lpstr>
      <vt:lpstr>F001P200F2900</vt:lpstr>
      <vt:lpstr>F001P200F2900O6100</vt:lpstr>
      <vt:lpstr>F001P200F2900O6200</vt:lpstr>
      <vt:lpstr>F001P200F2900O630064006500</vt:lpstr>
      <vt:lpstr>F001P200F2900O6600</vt:lpstr>
      <vt:lpstr>F001P200F2900O6800</vt:lpstr>
      <vt:lpstr>F001P200F2900OthBudgFY</vt:lpstr>
      <vt:lpstr>F001P200F2900Personnel</vt:lpstr>
      <vt:lpstr>F001P200F2900SBBudgFY</vt:lpstr>
      <vt:lpstr>F001P200F2900TotBudgFY</vt:lpstr>
      <vt:lpstr>F001P200F3000</vt:lpstr>
      <vt:lpstr>F001P200F3000O6100</vt:lpstr>
      <vt:lpstr>F001P200F3000O6200</vt:lpstr>
      <vt:lpstr>F001P200F3000O630064006500</vt:lpstr>
      <vt:lpstr>F001P200F3000O6600</vt:lpstr>
      <vt:lpstr>F001P200F3000O6800</vt:lpstr>
      <vt:lpstr>F001P200F3000OthBudgFY</vt:lpstr>
      <vt:lpstr>F001P200F3000Personnel</vt:lpstr>
      <vt:lpstr>F001P200F3000SBBudgFY</vt:lpstr>
      <vt:lpstr>F001P200F3000TotBudgFY</vt:lpstr>
      <vt:lpstr>F001P200F510TotBudgFY</vt:lpstr>
      <vt:lpstr>F001P200PYDisabilityTot</vt:lpstr>
      <vt:lpstr>F001P200Subtotal</vt:lpstr>
      <vt:lpstr>F001P200TotBudgFY</vt:lpstr>
      <vt:lpstr>F001P400</vt:lpstr>
      <vt:lpstr>F001P400O6100</vt:lpstr>
      <vt:lpstr>F001P400O6200</vt:lpstr>
      <vt:lpstr>F001P400O630064006500</vt:lpstr>
      <vt:lpstr>F001P400O6600</vt:lpstr>
      <vt:lpstr>F001P400O6800</vt:lpstr>
      <vt:lpstr>F001P400OthBudgFy</vt:lpstr>
      <vt:lpstr>F001P400Personnel</vt:lpstr>
      <vt:lpstr>F001P400SBBudgFY</vt:lpstr>
      <vt:lpstr>F001P400TotBudgFY</vt:lpstr>
      <vt:lpstr>F001P510</vt:lpstr>
      <vt:lpstr>F001P510O6100</vt:lpstr>
      <vt:lpstr>F001P510O6200</vt:lpstr>
      <vt:lpstr>F001P510O630064006500</vt:lpstr>
      <vt:lpstr>F001P510O6600</vt:lpstr>
      <vt:lpstr>F001P510O6800</vt:lpstr>
      <vt:lpstr>F001P510OthBudgFY</vt:lpstr>
      <vt:lpstr>F001P510Personnel</vt:lpstr>
      <vt:lpstr>F001P510SBBudgFY</vt:lpstr>
      <vt:lpstr>F001P530</vt:lpstr>
      <vt:lpstr>F001P530O6100</vt:lpstr>
      <vt:lpstr>F001P530O6200</vt:lpstr>
      <vt:lpstr>F001P530O630064006500</vt:lpstr>
      <vt:lpstr>F001P530O6600</vt:lpstr>
      <vt:lpstr>F001P530O6800</vt:lpstr>
      <vt:lpstr>F001P530OthBudgFY</vt:lpstr>
      <vt:lpstr>F001P530Personnel</vt:lpstr>
      <vt:lpstr>F001P530SBBudgFY</vt:lpstr>
      <vt:lpstr>F001P530TotBudgFY</vt:lpstr>
      <vt:lpstr>F001P540</vt:lpstr>
      <vt:lpstr>F001P540O6100</vt:lpstr>
      <vt:lpstr>F001P540O6200</vt:lpstr>
      <vt:lpstr>F001P540O630064006500</vt:lpstr>
      <vt:lpstr>F001P540O6600</vt:lpstr>
      <vt:lpstr>F001P540O6800</vt:lpstr>
      <vt:lpstr>F001P540OthBudgFY</vt:lpstr>
      <vt:lpstr>F001P540Personnel</vt:lpstr>
      <vt:lpstr>F001P540SBBudgFY</vt:lpstr>
      <vt:lpstr>F001P540TotBudgFY</vt:lpstr>
      <vt:lpstr>F001P550</vt:lpstr>
      <vt:lpstr>F001P550O6100</vt:lpstr>
      <vt:lpstr>F001P550O6200</vt:lpstr>
      <vt:lpstr>F001P550O630064006500</vt:lpstr>
      <vt:lpstr>F001P550O6600</vt:lpstr>
      <vt:lpstr>F001P550O6800</vt:lpstr>
      <vt:lpstr>F001P550OthBudgFY</vt:lpstr>
      <vt:lpstr>F001P550Personnel</vt:lpstr>
      <vt:lpstr>F001P550SBBudgFY</vt:lpstr>
      <vt:lpstr>F001P550TotBudgFY</vt:lpstr>
      <vt:lpstr>F001P610</vt:lpstr>
      <vt:lpstr>F001P610O6100</vt:lpstr>
      <vt:lpstr>F001P610O6200</vt:lpstr>
      <vt:lpstr>F001P610O630064006500</vt:lpstr>
      <vt:lpstr>F001P610O6600</vt:lpstr>
      <vt:lpstr>F001P610O6800</vt:lpstr>
      <vt:lpstr>F001P610OthBudgFY</vt:lpstr>
      <vt:lpstr>F001P610Personnel</vt:lpstr>
      <vt:lpstr>F001P610SBBudgFY</vt:lpstr>
      <vt:lpstr>F001P610TotBudgFY</vt:lpstr>
      <vt:lpstr>F001P620</vt:lpstr>
      <vt:lpstr>F001P620O6100</vt:lpstr>
      <vt:lpstr>F001P620O6200</vt:lpstr>
      <vt:lpstr>F001P620O630064006500</vt:lpstr>
      <vt:lpstr>F001P620O6600</vt:lpstr>
      <vt:lpstr>F001P620O6800</vt:lpstr>
      <vt:lpstr>F001P620OthBudgFY</vt:lpstr>
      <vt:lpstr>F001P620Personnel</vt:lpstr>
      <vt:lpstr>F001P620SBBudgFY</vt:lpstr>
      <vt:lpstr>F001P620TotBudgFY</vt:lpstr>
      <vt:lpstr>F001P630</vt:lpstr>
      <vt:lpstr>F001P630700800900OthBudgFY</vt:lpstr>
      <vt:lpstr>F001P630700800900SBBudgFY</vt:lpstr>
      <vt:lpstr>F001P630700800900TotBudgFY</vt:lpstr>
      <vt:lpstr>F001P630O6100</vt:lpstr>
      <vt:lpstr>F001P630O6200</vt:lpstr>
      <vt:lpstr>F001P630O630064006500</vt:lpstr>
      <vt:lpstr>F001P630O6600</vt:lpstr>
      <vt:lpstr>F001P630O6800</vt:lpstr>
      <vt:lpstr>F001P630Personnel</vt:lpstr>
      <vt:lpstr>F001P700800900</vt:lpstr>
      <vt:lpstr>F001P700800900O6100</vt:lpstr>
      <vt:lpstr>F001P700800900O6200</vt:lpstr>
      <vt:lpstr>F001P700800900O630064006500</vt:lpstr>
      <vt:lpstr>F001P700800900O6600</vt:lpstr>
      <vt:lpstr>F001P700800900O6800</vt:lpstr>
      <vt:lpstr>F001P700800900Personnel</vt:lpstr>
      <vt:lpstr>F001TotalExp</vt:lpstr>
      <vt:lpstr>F001TotalExpSumm</vt:lpstr>
      <vt:lpstr>F001TotExpCurrFY</vt:lpstr>
      <vt:lpstr>F010F1000</vt:lpstr>
      <vt:lpstr>F010F2100</vt:lpstr>
      <vt:lpstr>F010F2200</vt:lpstr>
      <vt:lpstr>F010F2310</vt:lpstr>
      <vt:lpstr>F010F2510</vt:lpstr>
      <vt:lpstr>F010F3300</vt:lpstr>
      <vt:lpstr>F010F4000</vt:lpstr>
      <vt:lpstr>F010F5000</vt:lpstr>
      <vt:lpstr>F010TotalExp</vt:lpstr>
      <vt:lpstr>F010TotalExpPY</vt:lpstr>
      <vt:lpstr>F020ClassSizeRedBudgFY</vt:lpstr>
      <vt:lpstr>F020DropPrevProgBudgFY</vt:lpstr>
      <vt:lpstr>F020InstrImprProgBudgFY</vt:lpstr>
      <vt:lpstr>F020TeachCompIncrBudgFY</vt:lpstr>
      <vt:lpstr>F020TotBudgFY</vt:lpstr>
      <vt:lpstr>F020TotCurrFY</vt:lpstr>
      <vt:lpstr>F050BudgFY</vt:lpstr>
      <vt:lpstr>F050CurrFY</vt:lpstr>
      <vt:lpstr>F071BudgFY</vt:lpstr>
      <vt:lpstr>F071CurrFY</vt:lpstr>
      <vt:lpstr>F071F1000</vt:lpstr>
      <vt:lpstr>F071F1000Personnel</vt:lpstr>
      <vt:lpstr>F071F2100</vt:lpstr>
      <vt:lpstr>F071F2100Personnel</vt:lpstr>
      <vt:lpstr>F071F2200</vt:lpstr>
      <vt:lpstr>F071F2200Personnel</vt:lpstr>
      <vt:lpstr>F071F2300</vt:lpstr>
      <vt:lpstr>F071F2300Personnel</vt:lpstr>
      <vt:lpstr>F071F2400</vt:lpstr>
      <vt:lpstr>F071F2400Personnel</vt:lpstr>
      <vt:lpstr>F071F2500</vt:lpstr>
      <vt:lpstr>F071F2500Personnel</vt:lpstr>
      <vt:lpstr>F071F2600</vt:lpstr>
      <vt:lpstr>F071F2600Personnel</vt:lpstr>
      <vt:lpstr>F071F2700</vt:lpstr>
      <vt:lpstr>F071F2700Personnel</vt:lpstr>
      <vt:lpstr>F071F2900</vt:lpstr>
      <vt:lpstr>F071F2900Personnel</vt:lpstr>
      <vt:lpstr>F072BudgFY</vt:lpstr>
      <vt:lpstr>F072CurrFY</vt:lpstr>
      <vt:lpstr>F072F1000</vt:lpstr>
      <vt:lpstr>F072F1000Personnel</vt:lpstr>
      <vt:lpstr>F072F2100</vt:lpstr>
      <vt:lpstr>F072F2100Personnel</vt:lpstr>
      <vt:lpstr>F072F2200</vt:lpstr>
      <vt:lpstr>F072F2200Personnel</vt:lpstr>
      <vt:lpstr>F072F2300</vt:lpstr>
      <vt:lpstr>F072F2300Personnel</vt:lpstr>
      <vt:lpstr>F072F2400</vt:lpstr>
      <vt:lpstr>F072F2400Personnel</vt:lpstr>
      <vt:lpstr>F072F2500</vt:lpstr>
      <vt:lpstr>F072F2500Personnel</vt:lpstr>
      <vt:lpstr>F072F2600</vt:lpstr>
      <vt:lpstr>F072F2600Personnel</vt:lpstr>
      <vt:lpstr>F072F2700</vt:lpstr>
      <vt:lpstr>F072F2700Personnel</vt:lpstr>
      <vt:lpstr>F072F2900</vt:lpstr>
      <vt:lpstr>F072F2900Personnel</vt:lpstr>
      <vt:lpstr>F100130BudgFY</vt:lpstr>
      <vt:lpstr>F100130Personnel</vt:lpstr>
      <vt:lpstr>F100P200F2100TotBudgFY</vt:lpstr>
      <vt:lpstr>F140150BudgFY</vt:lpstr>
      <vt:lpstr>F140150Personnel</vt:lpstr>
      <vt:lpstr>F160BudgFY</vt:lpstr>
      <vt:lpstr>F160Personnel</vt:lpstr>
      <vt:lpstr>F170180BudgFY</vt:lpstr>
      <vt:lpstr>F170180Personnel</vt:lpstr>
      <vt:lpstr>F190BudgFY</vt:lpstr>
      <vt:lpstr>F190Personnel</vt:lpstr>
      <vt:lpstr>F200BudgFY</vt:lpstr>
      <vt:lpstr>F200Personnel</vt:lpstr>
      <vt:lpstr>F210BudgFY</vt:lpstr>
      <vt:lpstr>F210Personnel</vt:lpstr>
      <vt:lpstr>F220BudgFY</vt:lpstr>
      <vt:lpstr>F220Personnel</vt:lpstr>
      <vt:lpstr>F230BudgFY</vt:lpstr>
      <vt:lpstr>F230Personnel</vt:lpstr>
      <vt:lpstr>F240BudgFY</vt:lpstr>
      <vt:lpstr>F240Personnel</vt:lpstr>
      <vt:lpstr>F250BudgFY</vt:lpstr>
      <vt:lpstr>F250Personnel</vt:lpstr>
      <vt:lpstr>F260270BudgFY</vt:lpstr>
      <vt:lpstr>F260270Personnel</vt:lpstr>
      <vt:lpstr>F280BudgFY</vt:lpstr>
      <vt:lpstr>F280Personnel</vt:lpstr>
      <vt:lpstr>F290BudgFY</vt:lpstr>
      <vt:lpstr>F290Personnel</vt:lpstr>
      <vt:lpstr>F300399OtherBudgFY</vt:lpstr>
      <vt:lpstr>F300399OtherPersonnel</vt:lpstr>
      <vt:lpstr>F374BudgFY</vt:lpstr>
      <vt:lpstr>F374Personnel</vt:lpstr>
      <vt:lpstr>F378BudgFY</vt:lpstr>
      <vt:lpstr>F378Personnel</vt:lpstr>
      <vt:lpstr>F400BudgFY</vt:lpstr>
      <vt:lpstr>F400Personnel</vt:lpstr>
      <vt:lpstr>F410BudgFY</vt:lpstr>
      <vt:lpstr>F410Personnel</vt:lpstr>
      <vt:lpstr>F420BudgFY</vt:lpstr>
      <vt:lpstr>F420Personnel</vt:lpstr>
      <vt:lpstr>F425BudgFY</vt:lpstr>
      <vt:lpstr>F425Personnel</vt:lpstr>
      <vt:lpstr>F430BudgFY</vt:lpstr>
      <vt:lpstr>F430Personnel</vt:lpstr>
      <vt:lpstr>F435BudgFY</vt:lpstr>
      <vt:lpstr>F435Personnel</vt:lpstr>
      <vt:lpstr>F450BudgFY</vt:lpstr>
      <vt:lpstr>F450Personnel</vt:lpstr>
      <vt:lpstr>F456BudgFY</vt:lpstr>
      <vt:lpstr>F456Personnel</vt:lpstr>
      <vt:lpstr>F460BudgFY</vt:lpstr>
      <vt:lpstr>F460Personnel</vt:lpstr>
      <vt:lpstr>F465499BudgFY</vt:lpstr>
      <vt:lpstr>F465499Personnel</vt:lpstr>
      <vt:lpstr>F500BudgFY</vt:lpstr>
      <vt:lpstr>F500CurrFY</vt:lpstr>
      <vt:lpstr>F510BudgFY</vt:lpstr>
      <vt:lpstr>F510CurrFY</vt:lpstr>
      <vt:lpstr>F515BudgFY</vt:lpstr>
      <vt:lpstr>F515CurrFY</vt:lpstr>
      <vt:lpstr>F520BudgFY</vt:lpstr>
      <vt:lpstr>F520CurrFY</vt:lpstr>
      <vt:lpstr>F525BudgFY</vt:lpstr>
      <vt:lpstr>F525CurrFY</vt:lpstr>
      <vt:lpstr>F526BudgFY</vt:lpstr>
      <vt:lpstr>F526CurrFY</vt:lpstr>
      <vt:lpstr>F530BudgFY</vt:lpstr>
      <vt:lpstr>F530CurrFY</vt:lpstr>
      <vt:lpstr>F535BudgFY</vt:lpstr>
      <vt:lpstr>F535CurrFY</vt:lpstr>
      <vt:lpstr>F540BudgFY</vt:lpstr>
      <vt:lpstr>F540CurrFY</vt:lpstr>
      <vt:lpstr>F545BudgFY</vt:lpstr>
      <vt:lpstr>F545CurrFY</vt:lpstr>
      <vt:lpstr>F550BudgFY</vt:lpstr>
      <vt:lpstr>F550CurrFY</vt:lpstr>
      <vt:lpstr>F555BudgFY</vt:lpstr>
      <vt:lpstr>F555CurrFY</vt:lpstr>
      <vt:lpstr>F565BudgFY</vt:lpstr>
      <vt:lpstr>F565CurrFY</vt:lpstr>
      <vt:lpstr>F570BudgFY</vt:lpstr>
      <vt:lpstr>F570CurrFY</vt:lpstr>
      <vt:lpstr>F575BudgFY</vt:lpstr>
      <vt:lpstr>F575CurrFY</vt:lpstr>
      <vt:lpstr>F580BudgFY</vt:lpstr>
      <vt:lpstr>F580CurrFY</vt:lpstr>
      <vt:lpstr>F585BudgFY</vt:lpstr>
      <vt:lpstr>F585CurrFY</vt:lpstr>
      <vt:lpstr>F590BudgFY</vt:lpstr>
      <vt:lpstr>F590CurrFY</vt:lpstr>
      <vt:lpstr>F595BudgFY</vt:lpstr>
      <vt:lpstr>F595CurrFY</vt:lpstr>
      <vt:lpstr>F596BudgFY</vt:lpstr>
      <vt:lpstr>F596CurrFY</vt:lpstr>
      <vt:lpstr>F597BudgFY</vt:lpstr>
      <vt:lpstr>F597CurrFY</vt:lpstr>
      <vt:lpstr>F610BudgFYNewConstruction</vt:lpstr>
      <vt:lpstr>F610BudgFYO6150</vt:lpstr>
      <vt:lpstr>F610BudgFYO6200</vt:lpstr>
      <vt:lpstr>F610BudgFYO6450</vt:lpstr>
      <vt:lpstr>F610BudgFYO6710</vt:lpstr>
      <vt:lpstr>F610BudgFYO6720</vt:lpstr>
      <vt:lpstr>F610BudgFYO6731</vt:lpstr>
      <vt:lpstr>F610BudgFYO6734</vt:lpstr>
      <vt:lpstr>F610BudgFYO6737</vt:lpstr>
      <vt:lpstr>F610BudgFYO6831</vt:lpstr>
      <vt:lpstr>F610BudgFYO6841</vt:lpstr>
      <vt:lpstr>F610BudgFYOther</vt:lpstr>
      <vt:lpstr>F610BudgFYRenovation</vt:lpstr>
      <vt:lpstr>F610F1000</vt:lpstr>
      <vt:lpstr>F610F21002200</vt:lpstr>
      <vt:lpstr>F610F2300240025002900</vt:lpstr>
      <vt:lpstr>F610F2600</vt:lpstr>
      <vt:lpstr>F610F2700</vt:lpstr>
      <vt:lpstr>F610F3000</vt:lpstr>
      <vt:lpstr>F610F4000</vt:lpstr>
      <vt:lpstr>F610F5000</vt:lpstr>
      <vt:lpstr>F610O6731</vt:lpstr>
      <vt:lpstr>F610O6734</vt:lpstr>
      <vt:lpstr>F610O6737</vt:lpstr>
      <vt:lpstr>F610Override</vt:lpstr>
      <vt:lpstr>F610TotalBudgFY</vt:lpstr>
      <vt:lpstr>F610TotalCurrFY</vt:lpstr>
      <vt:lpstr>F620BudgFYNewConstruction</vt:lpstr>
      <vt:lpstr>F620BudgFYO6150</vt:lpstr>
      <vt:lpstr>F620BudgFYO6200</vt:lpstr>
      <vt:lpstr>F620BudgFYO6450</vt:lpstr>
      <vt:lpstr>F620BudgFYO6710</vt:lpstr>
      <vt:lpstr>F620BudgFYO6720</vt:lpstr>
      <vt:lpstr>F620BudgFYO6731</vt:lpstr>
      <vt:lpstr>F620BudgFYO6734</vt:lpstr>
      <vt:lpstr>F620BudgFYO6737</vt:lpstr>
      <vt:lpstr>F620BudgFYO6831</vt:lpstr>
      <vt:lpstr>F620BudgFYO6841</vt:lpstr>
      <vt:lpstr>F620BudgFYOther</vt:lpstr>
      <vt:lpstr>F620BudgFYRenovation</vt:lpstr>
      <vt:lpstr>F620TotalBudgFY</vt:lpstr>
      <vt:lpstr>F620TotalCurrFY</vt:lpstr>
      <vt:lpstr>F630BudgFYNewConstruction</vt:lpstr>
      <vt:lpstr>F630BudgFYO6150</vt:lpstr>
      <vt:lpstr>F630BudgFYO6200</vt:lpstr>
      <vt:lpstr>F630BudgFYO6450</vt:lpstr>
      <vt:lpstr>F630BudgFYO6710</vt:lpstr>
      <vt:lpstr>F630BudgFYO6720</vt:lpstr>
      <vt:lpstr>F630BudgFYO6731</vt:lpstr>
      <vt:lpstr>F630BudgFYO6734</vt:lpstr>
      <vt:lpstr>F630BudgFYO6737</vt:lpstr>
      <vt:lpstr>F630BudgFYO6831</vt:lpstr>
      <vt:lpstr>F630BudgFYO6841</vt:lpstr>
      <vt:lpstr>F630BudgFYOther</vt:lpstr>
      <vt:lpstr>F630BudgFYRenovation</vt:lpstr>
      <vt:lpstr>F630TotalBudgFY</vt:lpstr>
      <vt:lpstr>F630TotalCurrFY</vt:lpstr>
      <vt:lpstr>F639BudgFY</vt:lpstr>
      <vt:lpstr>F639CurrFY</vt:lpstr>
      <vt:lpstr>F650BudgFY</vt:lpstr>
      <vt:lpstr>F650CurrFY</vt:lpstr>
      <vt:lpstr>F660BudgFY</vt:lpstr>
      <vt:lpstr>F660CurrFY</vt:lpstr>
      <vt:lpstr>F665BudgFY</vt:lpstr>
      <vt:lpstr>F665CurrFY</vt:lpstr>
      <vt:lpstr>F686BudgFY</vt:lpstr>
      <vt:lpstr>F686CurrFY</vt:lpstr>
      <vt:lpstr>F691BudgFY</vt:lpstr>
      <vt:lpstr>F691CurrFY</vt:lpstr>
      <vt:lpstr>F695BudgFYNewConstruction</vt:lpstr>
      <vt:lpstr>F695BudgFYO6150</vt:lpstr>
      <vt:lpstr>F695BudgFYO6200</vt:lpstr>
      <vt:lpstr>F695BudgFYO6450</vt:lpstr>
      <vt:lpstr>F695BudgFYO6710</vt:lpstr>
      <vt:lpstr>F695BudgFYO6720</vt:lpstr>
      <vt:lpstr>F695BudgFYO6731</vt:lpstr>
      <vt:lpstr>F695BudgFYO6734</vt:lpstr>
      <vt:lpstr>F695BudgFYO6737</vt:lpstr>
      <vt:lpstr>F695BudgFYO6831</vt:lpstr>
      <vt:lpstr>F695BudgFYO6841</vt:lpstr>
      <vt:lpstr>F695BudgFYOther</vt:lpstr>
      <vt:lpstr>F695TotalBudgFY</vt:lpstr>
      <vt:lpstr>F695TotalCurrFY</vt:lpstr>
      <vt:lpstr>F700BudgFY</vt:lpstr>
      <vt:lpstr>F700CurrFY</vt:lpstr>
      <vt:lpstr>F720BudgFY</vt:lpstr>
      <vt:lpstr>F720CurrFY</vt:lpstr>
      <vt:lpstr>F850BudgFY</vt:lpstr>
      <vt:lpstr>F850CurrFY</vt:lpstr>
      <vt:lpstr>F9__OPEBBudgFY</vt:lpstr>
      <vt:lpstr>F9__OPEBCurrFY</vt:lpstr>
      <vt:lpstr>F9__OtherBudgFY</vt:lpstr>
      <vt:lpstr>F9__OtherCurrFY</vt:lpstr>
      <vt:lpstr>F9__SelfInsBudgFY</vt:lpstr>
      <vt:lpstr>F9__SelfInsCurrFY</vt:lpstr>
      <vt:lpstr>F955BudgFY</vt:lpstr>
      <vt:lpstr>F955CurrFY</vt:lpstr>
      <vt:lpstr>Cover!FiscalYear</vt:lpstr>
      <vt:lpstr>FY2018Salary</vt:lpstr>
      <vt:lpstr>GBLBudgFY</vt:lpstr>
      <vt:lpstr>GBLBudgFYSumm</vt:lpstr>
      <vt:lpstr>GPLETV</vt:lpstr>
      <vt:lpstr>HSCountDORtoDOA</vt:lpstr>
      <vt:lpstr>IEPTransportCosts</vt:lpstr>
      <vt:lpstr>Incr200Days</vt:lpstr>
      <vt:lpstr>IncreaseTuitionLossAdj</vt:lpstr>
      <vt:lpstr>IncrTeachComp</vt:lpstr>
      <vt:lpstr>IncrTransEWStoMO</vt:lpstr>
      <vt:lpstr>JTEDBudgFY</vt:lpstr>
      <vt:lpstr>JTEDCurrFY</vt:lpstr>
      <vt:lpstr>K3RSLW</vt:lpstr>
      <vt:lpstr>K3SLW</vt:lpstr>
      <vt:lpstr>LessDSLorRCL912</vt:lpstr>
      <vt:lpstr>MOFoodService</vt:lpstr>
      <vt:lpstr>NonAOIGrBAddOnWgtdADM</vt:lpstr>
      <vt:lpstr>NonAOIRegEdWgtdADM</vt:lpstr>
      <vt:lpstr>NonAOIStudCnt912CY</vt:lpstr>
      <vt:lpstr>NonAOIStudCntDD.ED.MIID.SLD.SLI.OHI</vt:lpstr>
      <vt:lpstr>NonAOIStudCntEDP</vt:lpstr>
      <vt:lpstr>NonAOIStudCntELL</vt:lpstr>
      <vt:lpstr>NonAOIStudCntFRPL</vt:lpstr>
      <vt:lpstr>NonAOIStudCntG</vt:lpstr>
      <vt:lpstr>NonAOIStudCntHI</vt:lpstr>
      <vt:lpstr>NonAOIStudCntK3</vt:lpstr>
      <vt:lpstr>NonAOIStudCntK3R</vt:lpstr>
      <vt:lpstr>NonAOIStudCntK8CY</vt:lpstr>
      <vt:lpstr>NonAOIStudCntMDR.AR.SIDR</vt:lpstr>
      <vt:lpstr>NonAOIStudCntMDRARSIDR</vt:lpstr>
      <vt:lpstr>NonAOIStudCntMDSC.ASC.SIDSC</vt:lpstr>
      <vt:lpstr>NonAOIStudCntMDSCASCSIDSC</vt:lpstr>
      <vt:lpstr>NonAOIStudCntMDSDASCSIDSC</vt:lpstr>
      <vt:lpstr>NonAOIStudCntMDSSI</vt:lpstr>
      <vt:lpstr>NonAOIStudCntMOID</vt:lpstr>
      <vt:lpstr>NonAOIStudCntOIR</vt:lpstr>
      <vt:lpstr>NonAOIStudCntOISC</vt:lpstr>
      <vt:lpstr>NonAOIStudCntP.SD</vt:lpstr>
      <vt:lpstr>NonAOIStudCntPSD</vt:lpstr>
      <vt:lpstr>NonAOIStudCntPSDCY</vt:lpstr>
      <vt:lpstr>NonAOIStudCntVI</vt:lpstr>
      <vt:lpstr>NonFedAuditExp</vt:lpstr>
      <vt:lpstr>OtherFundsBudgFY</vt:lpstr>
      <vt:lpstr>OtherFundsCurrFY</vt:lpstr>
      <vt:lpstr>Page1</vt:lpstr>
      <vt:lpstr>Page1l27</vt:lpstr>
      <vt:lpstr>Page1l28</vt:lpstr>
      <vt:lpstr>Page1l29</vt:lpstr>
      <vt:lpstr>Page1l4</vt:lpstr>
      <vt:lpstr>Page1l9</vt:lpstr>
      <vt:lpstr>Page2</vt:lpstr>
      <vt:lpstr>Page2l45</vt:lpstr>
      <vt:lpstr>Page2n1</vt:lpstr>
      <vt:lpstr>Page2n2</vt:lpstr>
      <vt:lpstr>Page2n4</vt:lpstr>
      <vt:lpstr>Page3</vt:lpstr>
      <vt:lpstr>Page3Gen</vt:lpstr>
      <vt:lpstr>Page3Line11</vt:lpstr>
      <vt:lpstr>Page3Line13</vt:lpstr>
      <vt:lpstr>Page3Line14</vt:lpstr>
      <vt:lpstr>Page3Line15</vt:lpstr>
      <vt:lpstr>Page3Line4</vt:lpstr>
      <vt:lpstr>Page3Line9</vt:lpstr>
      <vt:lpstr>Page4f5</vt:lpstr>
      <vt:lpstr>Page4L10</vt:lpstr>
      <vt:lpstr>Page5</vt:lpstr>
      <vt:lpstr>Page5SelectExp</vt:lpstr>
      <vt:lpstr>Page6</vt:lpstr>
      <vt:lpstr>Page6F456</vt:lpstr>
      <vt:lpstr>Page6l16</vt:lpstr>
      <vt:lpstr>Page6l17</vt:lpstr>
      <vt:lpstr>Page6l2</vt:lpstr>
      <vt:lpstr>Page6l24</vt:lpstr>
      <vt:lpstr>Page6l28</vt:lpstr>
      <vt:lpstr>Page6l29</vt:lpstr>
      <vt:lpstr>Page6l2and3</vt:lpstr>
      <vt:lpstr>Page6l30</vt:lpstr>
      <vt:lpstr>Page6l33</vt:lpstr>
      <vt:lpstr>Page6l34</vt:lpstr>
      <vt:lpstr>Page6l4</vt:lpstr>
      <vt:lpstr>'Page 8'!Page7</vt:lpstr>
      <vt:lpstr>Page7Gen</vt:lpstr>
      <vt:lpstr>Page7l1</vt:lpstr>
      <vt:lpstr>Page7l10</vt:lpstr>
      <vt:lpstr>Page7l11</vt:lpstr>
      <vt:lpstr>Page7l2athroughb</vt:lpstr>
      <vt:lpstr>Page7l2b</vt:lpstr>
      <vt:lpstr>Page7l3</vt:lpstr>
      <vt:lpstr>Page7l3a</vt:lpstr>
      <vt:lpstr>Page7l3b</vt:lpstr>
      <vt:lpstr>Page7l3c</vt:lpstr>
      <vt:lpstr>Page7l4</vt:lpstr>
      <vt:lpstr>Page7l5</vt:lpstr>
      <vt:lpstr>Page7l5d</vt:lpstr>
      <vt:lpstr>Page7l6</vt:lpstr>
      <vt:lpstr>Page7l7</vt:lpstr>
      <vt:lpstr>Page7l8a</vt:lpstr>
      <vt:lpstr>Page7l8b</vt:lpstr>
      <vt:lpstr>Page7l8c</vt:lpstr>
      <vt:lpstr>Page7l8d</vt:lpstr>
      <vt:lpstr>Page7l8e</vt:lpstr>
      <vt:lpstr>Page7l8f</vt:lpstr>
      <vt:lpstr>Page7l8g</vt:lpstr>
      <vt:lpstr>Page7l8h</vt:lpstr>
      <vt:lpstr>Page7l9</vt:lpstr>
      <vt:lpstr>Page8lA10</vt:lpstr>
      <vt:lpstr>Page8lA2</vt:lpstr>
      <vt:lpstr>Page8lA3</vt:lpstr>
      <vt:lpstr>Page8lA6</vt:lpstr>
      <vt:lpstr>Page8lA8</vt:lpstr>
      <vt:lpstr>Page8lA9</vt:lpstr>
      <vt:lpstr>PAV</vt:lpstr>
      <vt:lpstr>PercentageIncrease</vt:lpstr>
      <vt:lpstr>PercentageIncreaseSumm</vt:lpstr>
      <vt:lpstr>PerfPay</vt:lpstr>
      <vt:lpstr>PreAdjDAA</vt:lpstr>
      <vt:lpstr>PremFYTRCL</vt:lpstr>
      <vt:lpstr>PrimTaxRateCurrFY</vt:lpstr>
      <vt:lpstr>PrimTaxRatePYSumm</vt:lpstr>
      <vt:lpstr>'BSA55'!Print_Area</vt:lpstr>
      <vt:lpstr>Calculations!Print_Area</vt:lpstr>
      <vt:lpstr>'Data Entry'!Print_Area</vt:lpstr>
      <vt:lpstr>'District Contacts'!Print_Area</vt:lpstr>
      <vt:lpstr>Instructions!Print_Area</vt:lpstr>
      <vt:lpstr>'Page 1'!Print_Area</vt:lpstr>
      <vt:lpstr>'Page 2'!Print_Area</vt:lpstr>
      <vt:lpstr>'Page 3'!Print_Area</vt:lpstr>
      <vt:lpstr>'Page 4'!Print_Area</vt:lpstr>
      <vt:lpstr>'Page 5'!Print_Area</vt:lpstr>
      <vt:lpstr>'Page 6'!Print_Area</vt:lpstr>
      <vt:lpstr>'Page 7'!Print_Area</vt:lpstr>
      <vt:lpstr>'Page 8'!Print_Area</vt:lpstr>
      <vt:lpstr>'Summary Page 1'!Print_Area</vt:lpstr>
      <vt:lpstr>'Summary Page 2'!Print_Area</vt:lpstr>
      <vt:lpstr>Supplement!Print_Area</vt:lpstr>
      <vt:lpstr>'Truth in Tax'!Print_Area</vt:lpstr>
      <vt:lpstr>'BSA55'!Print_Titles</vt:lpstr>
      <vt:lpstr>Calculations!Print_Titles</vt:lpstr>
      <vt:lpstr>'Data Entry'!Print_Titles</vt:lpstr>
      <vt:lpstr>Instructions!Print_Titles</vt:lpstr>
      <vt:lpstr>PriorYearADM</vt:lpstr>
      <vt:lpstr>PriorYearSalary</vt:lpstr>
      <vt:lpstr>PriorYearSalarySumm</vt:lpstr>
      <vt:lpstr>PY100DayADM</vt:lpstr>
      <vt:lpstr>PYActExpend</vt:lpstr>
      <vt:lpstr>PYADM</vt:lpstr>
      <vt:lpstr>PYEndMOCash</vt:lpstr>
      <vt:lpstr>PYIAEndCash</vt:lpstr>
      <vt:lpstr>PYTotMOActExpend</vt:lpstr>
      <vt:lpstr>QLPSD8</vt:lpstr>
      <vt:lpstr>QTR</vt:lpstr>
      <vt:lpstr>RatioAdmin</vt:lpstr>
      <vt:lpstr>RatioCertOther</vt:lpstr>
      <vt:lpstr>RatioCertSubtotal</vt:lpstr>
      <vt:lpstr>RatioClassOther</vt:lpstr>
      <vt:lpstr>RatioClassSubtotal</vt:lpstr>
      <vt:lpstr>RatioManagers</vt:lpstr>
      <vt:lpstr>RatioTeachers</vt:lpstr>
      <vt:lpstr>RatioTeachersAides</vt:lpstr>
      <vt:lpstr>RatioTotal</vt:lpstr>
      <vt:lpstr>RCL</vt:lpstr>
      <vt:lpstr>RemoteInstructionDecre</vt:lpstr>
      <vt:lpstr>SalaryComments</vt:lpstr>
      <vt:lpstr>SalaryCommentsSumm</vt:lpstr>
      <vt:lpstr>SalaryIncrease</vt:lpstr>
      <vt:lpstr>SalaryIncreaseSumm</vt:lpstr>
      <vt:lpstr>SecTaxRateBudgFYSumm</vt:lpstr>
      <vt:lpstr>SecTaxRatePYSumm</vt:lpstr>
      <vt:lpstr>SmallIsolated912Checkbox</vt:lpstr>
      <vt:lpstr>SmallIsolatedPSD8Checkbox</vt:lpstr>
      <vt:lpstr>SpecProgOverride</vt:lpstr>
      <vt:lpstr>SPEDCareerEdBudgFY</vt:lpstr>
      <vt:lpstr>SPEDCareerEdCurrFY</vt:lpstr>
      <vt:lpstr>SPEDELLCompInstrBudgFY</vt:lpstr>
      <vt:lpstr>SPEDELLCompInstrCurrFY</vt:lpstr>
      <vt:lpstr>SPEDELLIncCostBudgFY</vt:lpstr>
      <vt:lpstr>SPEDELLIncCostCurrFY</vt:lpstr>
      <vt:lpstr>SPEDGiftedEdBudgFY</vt:lpstr>
      <vt:lpstr>SPEDGiftedEdCurrFY</vt:lpstr>
      <vt:lpstr>SPEDRemedialEdBudgFY</vt:lpstr>
      <vt:lpstr>SPEDRemedialEdCurrFY</vt:lpstr>
      <vt:lpstr>SPEDStaff</vt:lpstr>
      <vt:lpstr>SPEDTeacher</vt:lpstr>
      <vt:lpstr>SPEDTotBudgFY</vt:lpstr>
      <vt:lpstr>SPEDVocTechEdBudgFY</vt:lpstr>
      <vt:lpstr>SPEDVocTechEdCurrFY</vt:lpstr>
      <vt:lpstr>SRPV</vt:lpstr>
      <vt:lpstr>SSA_MO</vt:lpstr>
      <vt:lpstr>SSA_UCO</vt:lpstr>
      <vt:lpstr>SSAFYExceeded</vt:lpstr>
      <vt:lpstr>SSAOriginalBudget</vt:lpstr>
      <vt:lpstr>SSAPDRCL10</vt:lpstr>
      <vt:lpstr>SSAPhaseDownCheckbox</vt:lpstr>
      <vt:lpstr>StateSupportLevelRouteMile1</vt:lpstr>
      <vt:lpstr>StateSupportLevelRouteMile2</vt:lpstr>
      <vt:lpstr>SumDebtServiceBY</vt:lpstr>
      <vt:lpstr>Summ_Page1_StudentCount</vt:lpstr>
      <vt:lpstr>SummAdjacentWaysBY</vt:lpstr>
      <vt:lpstr>SummAdjacentWaysPY</vt:lpstr>
      <vt:lpstr>SummAllDisabilityBY</vt:lpstr>
      <vt:lpstr>SummAllDisabilityPY</vt:lpstr>
      <vt:lpstr>SUMMARY_Page1</vt:lpstr>
      <vt:lpstr>SUMMARY_Page2</vt:lpstr>
      <vt:lpstr>'Summary Page 2'!SUMMARY2</vt:lpstr>
      <vt:lpstr>SummAuxOpsBY</vt:lpstr>
      <vt:lpstr>SummAuxOpsPY</vt:lpstr>
      <vt:lpstr>SummBondBuildingBY</vt:lpstr>
      <vt:lpstr>SummBondBuildingPY</vt:lpstr>
      <vt:lpstr>SummCareerEdBY</vt:lpstr>
      <vt:lpstr>SummCareerEdPY</vt:lpstr>
      <vt:lpstr>SummCompInstrBY</vt:lpstr>
      <vt:lpstr>SummCompInstrPY</vt:lpstr>
      <vt:lpstr>SummCSFBY</vt:lpstr>
      <vt:lpstr>SummCSFPY</vt:lpstr>
      <vt:lpstr>SummCTEDBY</vt:lpstr>
      <vt:lpstr>SummCTEDPY</vt:lpstr>
      <vt:lpstr>SummDebtServicePY</vt:lpstr>
      <vt:lpstr>SummELLBY</vt:lpstr>
      <vt:lpstr>SummELLCompInstBY</vt:lpstr>
      <vt:lpstr>SummELLIncrementalBY</vt:lpstr>
      <vt:lpstr>SummELLIncrementalPY</vt:lpstr>
      <vt:lpstr>SummELLPY</vt:lpstr>
      <vt:lpstr>SummFedProjectsBY</vt:lpstr>
      <vt:lpstr>SummFedProjectsPY</vt:lpstr>
      <vt:lpstr>SummFoodServiceBY</vt:lpstr>
      <vt:lpstr>SummFoodServicePY</vt:lpstr>
      <vt:lpstr>SummFY2018Salary</vt:lpstr>
      <vt:lpstr>SummGiftedBY</vt:lpstr>
      <vt:lpstr>SummGiftedPY</vt:lpstr>
      <vt:lpstr>SummInstImprovBY</vt:lpstr>
      <vt:lpstr>SummInstImprovPY</vt:lpstr>
      <vt:lpstr>SummMOBY</vt:lpstr>
      <vt:lpstr>SummMOPY</vt:lpstr>
      <vt:lpstr>SummNSFBY</vt:lpstr>
      <vt:lpstr>SummNSFPY</vt:lpstr>
      <vt:lpstr>SummOtherBY</vt:lpstr>
      <vt:lpstr>SummOtherPY</vt:lpstr>
      <vt:lpstr>SummRemedialBY</vt:lpstr>
      <vt:lpstr>SummRemedialPY</vt:lpstr>
      <vt:lpstr>SummSchoolPlantBY</vt:lpstr>
      <vt:lpstr>SummSchoolPlantPY</vt:lpstr>
      <vt:lpstr>SummSpecEdTotalBY</vt:lpstr>
      <vt:lpstr>SummSpecEdTotalPY</vt:lpstr>
      <vt:lpstr>SummStateProjectsBY</vt:lpstr>
      <vt:lpstr>SummStateProjectsPY</vt:lpstr>
      <vt:lpstr>SummTotalPercentageIncrease</vt:lpstr>
      <vt:lpstr>SummUCOBY</vt:lpstr>
      <vt:lpstr>SummUCOPY</vt:lpstr>
      <vt:lpstr>SummVocandTechEdBY</vt:lpstr>
      <vt:lpstr>SummVocandTechEdPY</vt:lpstr>
      <vt:lpstr>Suppl_ELL</vt:lpstr>
      <vt:lpstr>Supplement!Suppl_P.1_2</vt:lpstr>
      <vt:lpstr>SuppLvlWgt912NonIsolated</vt:lpstr>
      <vt:lpstr>SupportLevelWeight912</vt:lpstr>
      <vt:lpstr>SupportLevelWeight912NonIsolated</vt:lpstr>
      <vt:lpstr>Cover!System</vt:lpstr>
      <vt:lpstr>TaxRates</vt:lpstr>
      <vt:lpstr>TeacherCompCheckbox</vt:lpstr>
      <vt:lpstr>TeacherSalaryIncrease</vt:lpstr>
      <vt:lpstr>TEI</vt:lpstr>
      <vt:lpstr>TotalAOIFTStudCntCY</vt:lpstr>
      <vt:lpstr>TotalAOIPTStudCntCY</vt:lpstr>
      <vt:lpstr>TotalDAAAdj</vt:lpstr>
      <vt:lpstr>TotalFTEAdmin</vt:lpstr>
      <vt:lpstr>TotalFTECertOther</vt:lpstr>
      <vt:lpstr>TotalFTECertSubtotal</vt:lpstr>
      <vt:lpstr>TotalFTEClassOther</vt:lpstr>
      <vt:lpstr>TotalFTEClassSubtotal</vt:lpstr>
      <vt:lpstr>TotalFTEManagers</vt:lpstr>
      <vt:lpstr>TotalFTESpecEdStaff</vt:lpstr>
      <vt:lpstr>TotalFTESpecEdTeacher</vt:lpstr>
      <vt:lpstr>TotalFTETeachers</vt:lpstr>
      <vt:lpstr>TotalFTETeachersAides</vt:lpstr>
      <vt:lpstr>TotalFTETotal</vt:lpstr>
      <vt:lpstr>TotalNonAOIStudCntCY</vt:lpstr>
      <vt:lpstr>TotalPercentageIncrease</vt:lpstr>
      <vt:lpstr>TotAmtCapExped</vt:lpstr>
      <vt:lpstr>TotFedProjFundBudgFY</vt:lpstr>
      <vt:lpstr>TotFedProjFundCurrFY</vt:lpstr>
      <vt:lpstr>TotSecTaxRateBudgFY</vt:lpstr>
      <vt:lpstr>TotSecTaxRateCurrFY</vt:lpstr>
      <vt:lpstr>TotStateProjFundBudgFY</vt:lpstr>
      <vt:lpstr>TotStateProjFundCurrFY</vt:lpstr>
      <vt:lpstr>'BSA55'!TRCLBudgPY</vt:lpstr>
      <vt:lpstr>TruthinTax</vt:lpstr>
      <vt:lpstr>TruthInTaxBaseLmt</vt:lpstr>
      <vt:lpstr>TruthInTaxl1</vt:lpstr>
      <vt:lpstr>TruthinTaxl2</vt:lpstr>
      <vt:lpstr>TruthinTaxl8a</vt:lpstr>
      <vt:lpstr>TSL</vt:lpstr>
      <vt:lpstr>'BSA55'!TSLBudgPY</vt:lpstr>
      <vt:lpstr>TwoPriorYearADM</vt:lpstr>
      <vt:lpstr>Type01TranspFactor</vt:lpstr>
      <vt:lpstr>Type02TranspFactor</vt:lpstr>
      <vt:lpstr>Type03TranspFactor</vt:lpstr>
      <vt:lpstr>Type04TranspFactor</vt:lpstr>
      <vt:lpstr>Type05TranspFactor</vt:lpstr>
      <vt:lpstr>UCBLBudgFY</vt:lpstr>
      <vt:lpstr>UCBLBudgFYSumm</vt:lpstr>
      <vt:lpstr>UCOBudgFYSumm</vt:lpstr>
      <vt:lpstr>UCOFundK3ReadExp</vt:lpstr>
      <vt:lpstr>UnweightedStudCnt912CY</vt:lpstr>
      <vt:lpstr>UnweightedStudCnt912PY</vt:lpstr>
      <vt:lpstr>UnweightedStudCntK8CY</vt:lpstr>
      <vt:lpstr>UnweightedStudCntK8PY</vt:lpstr>
      <vt:lpstr>UnweightedStudCntPSDCY</vt:lpstr>
      <vt:lpstr>UnweightedStudCntPSDPY</vt:lpstr>
      <vt:lpstr>Version</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azauditor</dc:creator>
  <cp:keywords/>
  <dc:description/>
  <cp:lastModifiedBy>Susan Ochoa</cp:lastModifiedBy>
  <cp:lastPrinted>2023-05-25T19:01:27Z</cp:lastPrinted>
  <dcterms:created xsi:type="dcterms:W3CDTF">1998-03-25T04:01:19Z</dcterms:created>
  <dcterms:modified xsi:type="dcterms:W3CDTF">2023-06-15T15:52:32Z</dcterms:modified>
  <cp:category/>
  <cp:contentStatus/>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scalYear">
    <vt:lpwstr>2024</vt:lpwstr>
  </property>
  <property fmtid="{D5CDD505-2E9C-101B-9397-08002B2CF9AE}" pid="3" name="BudgetTypeID">
    <vt:lpwstr>1</vt:lpwstr>
  </property>
  <property fmtid="{D5CDD505-2E9C-101B-9397-08002B2CF9AE}" pid="4" name="SchoolBySchool">
    <vt:lpwstr>0</vt:lpwstr>
  </property>
  <property fmtid="{D5CDD505-2E9C-101B-9397-08002B2CF9AE}" pid="5" name="Password">
    <vt:lpwstr>43014EB</vt:lpwstr>
  </property>
  <property fmtid="{D5CDD505-2E9C-101B-9397-08002B2CF9AE}" pid="6" name="ADEGUID">
    <vt:lpwstr>a4be9413-b463-4d3e-96d7-b7cfa0572427</vt:lpwstr>
  </property>
  <property fmtid="{D5CDD505-2E9C-101B-9397-08002B2CF9AE}" pid="7" name="ContentTypeId">
    <vt:lpwstr>0x010100740A7E3807644E4DA70E0D6B717B683A</vt:lpwstr>
  </property>
  <property fmtid="{D5CDD505-2E9C-101B-9397-08002B2CF9AE}" pid="8" name="MediaServiceImageTags">
    <vt:lpwstr/>
  </property>
</Properties>
</file>